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2000" windowHeight="9480" tabRatio="830" firstSheet="1" activeTab="1"/>
  </bookViews>
  <sheets>
    <sheet name="Graph1" sheetId="1" state="hidden" r:id="rId1"/>
    <sheet name="試算" sheetId="2" r:id="rId2"/>
  </sheets>
  <definedNames>
    <definedName name="_xlnm.Print_Area" localSheetId="1">'試算'!$A$1:$Y$38</definedName>
  </definedNames>
  <calcPr fullCalcOnLoad="1"/>
</workbook>
</file>

<file path=xl/comments2.xml><?xml version="1.0" encoding="utf-8"?>
<comments xmlns="http://schemas.openxmlformats.org/spreadsheetml/2006/main">
  <authors>
    <author>東浦町</author>
    <author>宇治田　昌弘</author>
  </authors>
  <commentList>
    <comment ref="F5" authorId="0">
      <text>
        <r>
          <rPr>
            <b/>
            <sz val="6"/>
            <rFont val="ＭＳ Ｐゴシック"/>
            <family val="3"/>
          </rPr>
          <t>総所得金額等</t>
        </r>
        <r>
          <rPr>
            <sz val="6"/>
            <rFont val="ＭＳ Ｐゴシック"/>
            <family val="3"/>
          </rPr>
          <t xml:space="preserve">
　給与所得は「源泉徴収票」の「給与所得控除後の金額」の欄、事業所得は総収入－必要経費。
　確定申告済の場合、申告書の「所得金額」の「合計」欄の額（分離譲渡所得があれば特別控除額後の額を加算）。</t>
        </r>
      </text>
    </comment>
    <comment ref="D17" authorId="1">
      <text>
        <r>
          <rPr>
            <sz val="6"/>
            <rFont val="ＭＳ Ｐゴシック"/>
            <family val="3"/>
          </rPr>
          <t>　「軽減判定所得」とは、世帯の国保加入者全員と、国保加入者以外に世帯主が居る場合にその世帯主の「総所得金額等」を合算した金額です。（特定同一世帯所属者も含みますが、本フォームでは対応していません。）
　「軽減判定所得」には、以下の注意点があります。 
【1】住民税基礎控除額である43万円は差し引きません。
【2】事業専従者の給与はないものとして扱い、また事業専従者控除は行いません。
【3】土地・建物の譲渡所得は、特別控除が適用されません。</t>
        </r>
      </text>
    </comment>
  </commentList>
</comments>
</file>

<file path=xl/sharedStrings.xml><?xml version="1.0" encoding="utf-8"?>
<sst xmlns="http://schemas.openxmlformats.org/spreadsheetml/2006/main" count="101" uniqueCount="81">
  <si>
    <t>所得割額</t>
  </si>
  <si>
    <t>均等割額</t>
  </si>
  <si>
    <t>平等割額</t>
  </si>
  <si>
    <t>医療分</t>
  </si>
  <si>
    <t>所得割控除</t>
  </si>
  <si>
    <t>所得割</t>
  </si>
  <si>
    <t>資産割</t>
  </si>
  <si>
    <t>均等割</t>
  </si>
  <si>
    <t>平等割</t>
  </si>
  <si>
    <t>医療</t>
  </si>
  <si>
    <t>後期</t>
  </si>
  <si>
    <t>介護</t>
  </si>
  <si>
    <t>課税基礎額</t>
  </si>
  <si>
    <t>後期高齢支援金分</t>
  </si>
  <si>
    <t>税率</t>
  </si>
  <si>
    <t>税額</t>
  </si>
  <si>
    <t>加入者１人毎に</t>
  </si>
  <si>
    <t>１世帯につき</t>
  </si>
  <si>
    <t>小計</t>
  </si>
  <si>
    <t>パラメータ</t>
  </si>
  <si>
    <t>介護該当戻り値</t>
  </si>
  <si>
    <t>医療・後期該当戻り値</t>
  </si>
  <si>
    <t>入力完了戻り値</t>
  </si>
  <si>
    <t>最高限度額</t>
  </si>
  <si>
    <t>限度額</t>
  </si>
  <si>
    <t>合計（A）</t>
  </si>
  <si>
    <t>合計（B）</t>
  </si>
  <si>
    <t>合計（C）</t>
  </si>
  <si>
    <t>採用する算出額</t>
  </si>
  <si>
    <t>A</t>
  </si>
  <si>
    <t>B</t>
  </si>
  <si>
    <t>C</t>
  </si>
  <si>
    <t>加入月戻り値</t>
  </si>
  <si>
    <t>納期回数</t>
  </si>
  <si>
    <t>３月末まで月数</t>
  </si>
  <si>
    <t>加入月数</t>
  </si>
  <si>
    <t>算出額　（100円未満切捨て）</t>
  </si>
  <si>
    <t>月</t>
  </si>
  <si>
    <t>文章化</t>
  </si>
  <si>
    <t>1回目納付額</t>
  </si>
  <si>
    <t>2回目以降</t>
  </si>
  <si>
    <t>2月の １回</t>
  </si>
  <si>
    <t>3月の 1回</t>
  </si>
  <si>
    <t>4月の 1回</t>
  </si>
  <si>
    <t>人数選択</t>
  </si>
  <si>
    <t>１人</t>
  </si>
  <si>
    <t>２人</t>
  </si>
  <si>
    <t>３人</t>
  </si>
  <si>
    <t>４人</t>
  </si>
  <si>
    <t>区 分</t>
  </si>
  <si>
    <t>介護分　(40歳～64歳の方)</t>
  </si>
  <si>
    <t>合計と最高限度額を比べて少ない方が
算出額になります。(着色された方の額)</t>
  </si>
  <si>
    <t>５割軽減</t>
  </si>
  <si>
    <t>２割軽減</t>
  </si>
  <si>
    <t>軽減割合</t>
  </si>
  <si>
    <t>基礎控除額</t>
  </si>
  <si>
    <t>一人当たり
加算額</t>
  </si>
  <si>
    <t>判定基準額</t>
  </si>
  <si>
    <t>7割</t>
  </si>
  <si>
    <t>均等割</t>
  </si>
  <si>
    <t>5割</t>
  </si>
  <si>
    <t>2割</t>
  </si>
  <si>
    <t>軽減後税率</t>
  </si>
  <si>
    <t>軽減判定</t>
  </si>
  <si>
    <t>太枠内の値を書き換えること</t>
  </si>
  <si>
    <t>文章化</t>
  </si>
  <si>
    <t>採用</t>
  </si>
  <si>
    <t>７割軽減</t>
  </si>
  <si>
    <t>軽減判定所得</t>
  </si>
  <si>
    <t>※軽減判定</t>
  </si>
  <si>
    <t>年額（12ヶ月加入した場合）=(A+B+C)</t>
  </si>
  <si>
    <t>7月から 2月までの 8回</t>
  </si>
  <si>
    <t>8月から 2月までの 7回</t>
  </si>
  <si>
    <t>9月から 2月までの 6回</t>
  </si>
  <si>
    <t>10月から 2月までの 5回</t>
  </si>
  <si>
    <t>11月から 2月までの 4回</t>
  </si>
  <si>
    <t>12月から 2月までの 3回</t>
  </si>
  <si>
    <t>1月から 2月までの 2回</t>
  </si>
  <si>
    <t>総所得金額等
－43万円</t>
  </si>
  <si>
    <t>国民健康保険税の試算（令和６年度分）</t>
  </si>
  <si>
    <t>いいえ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</si>
</sst>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;&quot;△ &quot;#,##0"/>
    <numFmt numFmtId="179" formatCode="#,##0_ "/>
    <numFmt numFmtId="180" formatCode="#,##0.00;&quot;△ &quot;#,##0.00"/>
    <numFmt numFmtId="181" formatCode="0_);[Red]\(0\)"/>
    <numFmt numFmtId="182" formatCode="#,##0_ ;[Red]\-#,##0\ "/>
    <numFmt numFmtId="183" formatCode="0.0_);[Red]\(0.0\)"/>
    <numFmt numFmtId="184" formatCode="0.00_);[Red]\(0.00\)"/>
    <numFmt numFmtId="185" formatCode="0.000_);[Red]\(0.000\)"/>
    <numFmt numFmtId="186" formatCode="0.0000_);[Red]\(0.0000\)"/>
    <numFmt numFmtId="187" formatCode="0.00000_);[Red]\(0.00000\)"/>
    <numFmt numFmtId="188" formatCode="0.000000_);[Red]\(0.000000\)"/>
    <numFmt numFmtId="189" formatCode="0.0000000_);[Red]\(0.0000000\)"/>
    <numFmt numFmtId="190" formatCode="0.00000000_);[Red]\(0.00000000\)"/>
    <numFmt numFmtId="191" formatCode="0.000000000_);[Red]\(0.000000000\)"/>
    <numFmt numFmtId="192" formatCode="0.0000000000_);[Red]\(0.0000000000\)"/>
    <numFmt numFmtId="193" formatCode="0.00000000000_);[Red]\(0.00000000000\)"/>
    <numFmt numFmtId="194" formatCode="0.000000000000_);[Red]\(0.000000000000\)"/>
    <numFmt numFmtId="195" formatCode="0.0000000000000_);[Red]\(0.0000000000000\)"/>
    <numFmt numFmtId="196" formatCode="0.00000000000000_);[Red]\(0.00000000000000\)"/>
    <numFmt numFmtId="197" formatCode="0_ "/>
    <numFmt numFmtId="198" formatCode="0_ ;[Red]\-0\ "/>
    <numFmt numFmtId="199" formatCode="#,##0.0_ ;[Red]\-#,##0.0\ "/>
    <numFmt numFmtId="200" formatCode="#,##0.00_ ;[Red]\-#,##0.0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&quot;円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HG丸ｺﾞｼｯｸM-PRO"/>
      <family val="3"/>
    </font>
    <font>
      <b/>
      <sz val="6"/>
      <name val="HG丸ｺﾞｼｯｸM-PRO"/>
      <family val="3"/>
    </font>
    <font>
      <b/>
      <sz val="6"/>
      <name val="HGSｺﾞｼｯｸE"/>
      <family val="3"/>
    </font>
    <font>
      <sz val="6"/>
      <name val="HG丸ｺﾞｼｯｸM-PRO"/>
      <family val="3"/>
    </font>
    <font>
      <sz val="6"/>
      <color indexed="9"/>
      <name val="HGｺﾞｼｯｸM"/>
      <family val="3"/>
    </font>
    <font>
      <sz val="6"/>
      <color indexed="9"/>
      <name val="ＭＳ Ｐゴシック"/>
      <family val="3"/>
    </font>
    <font>
      <sz val="6"/>
      <color indexed="12"/>
      <name val="HGｺﾞｼｯｸM"/>
      <family val="3"/>
    </font>
    <font>
      <b/>
      <sz val="6"/>
      <name val="ＭＳ Ｐゴシック"/>
      <family val="3"/>
    </font>
    <font>
      <sz val="6"/>
      <name val="HGPｺﾞｼｯｸE"/>
      <family val="3"/>
    </font>
    <font>
      <sz val="6"/>
      <name val="ＨＧｺﾞｼｯｸE-PRO"/>
      <family val="3"/>
    </font>
    <font>
      <i/>
      <sz val="6"/>
      <name val="HG丸ｺﾞｼｯｸM-PRO"/>
      <family val="3"/>
    </font>
    <font>
      <i/>
      <sz val="6"/>
      <name val="HGP明朝E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color indexed="23"/>
      <name val="ＭＳ Ｐゴシック"/>
      <family val="3"/>
    </font>
    <font>
      <b/>
      <sz val="6"/>
      <color indexed="23"/>
      <name val="ＭＳ Ｐゴシック"/>
      <family val="3"/>
    </font>
    <font>
      <sz val="6"/>
      <name val="HGSｺﾞｼｯｸM"/>
      <family val="3"/>
    </font>
    <font>
      <sz val="6"/>
      <color indexed="12"/>
      <name val="HG丸ｺﾞｼｯｸM-PRO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2"/>
      <name val="ＭＳ Ｐゴシック"/>
      <family val="3"/>
    </font>
    <font>
      <sz val="6"/>
      <color indexed="10"/>
      <name val="ＭＳ Ｐゴシック"/>
      <family val="3"/>
    </font>
    <font>
      <sz val="9"/>
      <name val="Meiryo UI"/>
      <family val="3"/>
    </font>
    <font>
      <sz val="6"/>
      <color indexed="12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10"/>
      <name val="ＭＳ Ｐゴシック"/>
      <family val="3"/>
    </font>
    <font>
      <b/>
      <sz val="7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6"/>
      <color rgb="FF0000FF"/>
      <name val="ＭＳ Ｐゴシック"/>
      <family val="3"/>
    </font>
    <font>
      <sz val="6"/>
      <color rgb="FFFF0000"/>
      <name val="ＭＳ Ｐゴシック"/>
      <family val="3"/>
    </font>
    <font>
      <sz val="6"/>
      <name val="Cambri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theme="3" tint="0.3998199999332428"/>
      </left>
      <right>
        <color indexed="63"/>
      </right>
      <top style="thin">
        <color theme="3" tint="0.3998199999332428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8199999332428"/>
      </top>
      <bottom>
        <color indexed="63"/>
      </bottom>
    </border>
    <border>
      <left>
        <color indexed="63"/>
      </left>
      <right style="thin">
        <color theme="3" tint="0.3998199999332428"/>
      </right>
      <top style="thin">
        <color theme="3" tint="0.3998199999332428"/>
      </top>
      <bottom>
        <color indexed="63"/>
      </bottom>
    </border>
    <border>
      <left style="thin">
        <color theme="3" tint="0.39981999993324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8199999332428"/>
      </right>
      <top>
        <color indexed="63"/>
      </top>
      <bottom>
        <color indexed="63"/>
      </bottom>
    </border>
    <border>
      <left style="thin">
        <color theme="3" tint="0.3998199999332428"/>
      </left>
      <right>
        <color indexed="63"/>
      </right>
      <top>
        <color indexed="63"/>
      </top>
      <bottom style="thin">
        <color theme="3" tint="0.3998199999332428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8199999332428"/>
      </bottom>
    </border>
    <border>
      <left>
        <color indexed="63"/>
      </left>
      <right style="thin">
        <color theme="3" tint="0.3998199999332428"/>
      </right>
      <top>
        <color indexed="63"/>
      </top>
      <bottom style="thin">
        <color theme="3" tint="0.399819999933242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theme="3" tint="0.399789988994598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3" tint="0.3997899889945984"/>
      </left>
      <right>
        <color indexed="63"/>
      </right>
      <top style="thin">
        <color theme="3" tint="0.3997899889945984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7899889945984"/>
      </top>
      <bottom>
        <color indexed="63"/>
      </bottom>
    </border>
    <border>
      <left>
        <color indexed="63"/>
      </left>
      <right style="thin">
        <color theme="3" tint="0.3997899889945984"/>
      </right>
      <top style="thin">
        <color theme="3" tint="0.3997899889945984"/>
      </top>
      <bottom>
        <color indexed="63"/>
      </bottom>
    </border>
    <border>
      <left style="thin">
        <color theme="3" tint="0.3997899889945984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9" fontId="7" fillId="0" borderId="0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left" wrapText="1"/>
      <protection hidden="1"/>
    </xf>
    <xf numFmtId="0" fontId="21" fillId="33" borderId="10" xfId="0" applyFont="1" applyFill="1" applyBorder="1" applyAlignment="1" applyProtection="1">
      <alignment vertical="center" wrapText="1"/>
      <protection hidden="1" locked="0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38" fontId="1" fillId="0" borderId="0" xfId="49" applyFont="1" applyBorder="1" applyAlignment="1" applyProtection="1">
      <alignment horizontal="center" vertical="center"/>
      <protection hidden="1"/>
    </xf>
    <xf numFmtId="38" fontId="1" fillId="0" borderId="0" xfId="49" applyFont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1" fillId="0" borderId="12" xfId="0" applyFont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38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38" fontId="1" fillId="0" borderId="12" xfId="0" applyNumberFormat="1" applyFont="1" applyFill="1" applyBorder="1" applyAlignment="1" applyProtection="1">
      <alignment horizontal="right" vertical="center"/>
      <protection hidden="1"/>
    </xf>
    <xf numFmtId="0" fontId="1" fillId="0" borderId="12" xfId="0" applyFont="1" applyFill="1" applyBorder="1" applyAlignment="1" applyProtection="1">
      <alignment horizontal="right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38" fontId="14" fillId="0" borderId="0" xfId="49" applyFont="1" applyFill="1" applyBorder="1" applyAlignment="1" applyProtection="1">
      <alignment/>
      <protection hidden="1"/>
    </xf>
    <xf numFmtId="38" fontId="7" fillId="0" borderId="0" xfId="49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3" fontId="15" fillId="0" borderId="0" xfId="0" applyNumberFormat="1" applyFont="1" applyFill="1" applyBorder="1" applyAlignment="1" applyProtection="1">
      <alignment horizontal="left"/>
      <protection hidden="1"/>
    </xf>
    <xf numFmtId="49" fontId="15" fillId="0" borderId="0" xfId="49" applyNumberFormat="1" applyFont="1" applyFill="1" applyBorder="1" applyAlignment="1" applyProtection="1">
      <alignment horizontal="right"/>
      <protection hidden="1"/>
    </xf>
    <xf numFmtId="38" fontId="15" fillId="0" borderId="0" xfId="49" applyFont="1" applyFill="1" applyBorder="1" applyAlignment="1" applyProtection="1">
      <alignment horizontal="left"/>
      <protection hidden="1"/>
    </xf>
    <xf numFmtId="176" fontId="13" fillId="0" borderId="0" xfId="0" applyNumberFormat="1" applyFont="1" applyFill="1" applyBorder="1" applyAlignment="1" applyProtection="1">
      <alignment horizontal="right"/>
      <protection hidden="1"/>
    </xf>
    <xf numFmtId="38" fontId="1" fillId="0" borderId="10" xfId="49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38" fontId="1" fillId="0" borderId="10" xfId="0" applyNumberFormat="1" applyFont="1" applyBorder="1" applyAlignment="1" applyProtection="1">
      <alignment/>
      <protection hidden="1"/>
    </xf>
    <xf numFmtId="0" fontId="21" fillId="33" borderId="10" xfId="0" applyFont="1" applyFill="1" applyBorder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/>
      <protection hidden="1"/>
    </xf>
    <xf numFmtId="0" fontId="12" fillId="34" borderId="0" xfId="0" applyFont="1" applyFill="1" applyBorder="1" applyAlignment="1" applyProtection="1">
      <alignment/>
      <protection hidden="1"/>
    </xf>
    <xf numFmtId="38" fontId="16" fillId="0" borderId="0" xfId="49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/>
      <protection hidden="1"/>
    </xf>
    <xf numFmtId="38" fontId="1" fillId="0" borderId="0" xfId="49" applyFont="1" applyBorder="1" applyAlignment="1" applyProtection="1">
      <alignment/>
      <protection hidden="1"/>
    </xf>
    <xf numFmtId="38" fontId="1" fillId="0" borderId="0" xfId="49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38" fontId="1" fillId="0" borderId="24" xfId="49" applyFont="1" applyBorder="1" applyAlignment="1" applyProtection="1">
      <alignment/>
      <protection hidden="1"/>
    </xf>
    <xf numFmtId="38" fontId="1" fillId="0" borderId="25" xfId="49" applyFont="1" applyBorder="1" applyAlignment="1" applyProtection="1">
      <alignment/>
      <protection hidden="1"/>
    </xf>
    <xf numFmtId="38" fontId="1" fillId="0" borderId="26" xfId="49" applyFont="1" applyBorder="1" applyAlignment="1" applyProtection="1">
      <alignment/>
      <protection hidden="1"/>
    </xf>
    <xf numFmtId="38" fontId="1" fillId="0" borderId="27" xfId="49" applyFont="1" applyBorder="1" applyAlignment="1" applyProtection="1">
      <alignment/>
      <protection hidden="1"/>
    </xf>
    <xf numFmtId="38" fontId="1" fillId="0" borderId="28" xfId="49" applyFont="1" applyBorder="1" applyAlignment="1" applyProtection="1">
      <alignment/>
      <protection hidden="1"/>
    </xf>
    <xf numFmtId="38" fontId="1" fillId="0" borderId="29" xfId="49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vertical="center"/>
      <protection hidden="1"/>
    </xf>
    <xf numFmtId="38" fontId="1" fillId="0" borderId="30" xfId="49" applyFont="1" applyBorder="1" applyAlignment="1" applyProtection="1">
      <alignment/>
      <protection hidden="1"/>
    </xf>
    <xf numFmtId="38" fontId="1" fillId="0" borderId="31" xfId="49" applyFont="1" applyBorder="1" applyAlignment="1" applyProtection="1">
      <alignment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38" fontId="8" fillId="0" borderId="0" xfId="49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67" fillId="0" borderId="0" xfId="0" applyFont="1" applyAlignment="1">
      <alignment horizontal="left" vertical="center" readingOrder="1"/>
    </xf>
    <xf numFmtId="0" fontId="7" fillId="0" borderId="32" xfId="0" applyFont="1" applyFill="1" applyBorder="1" applyAlignment="1" applyProtection="1">
      <alignment horizontal="center" vertical="center" wrapText="1"/>
      <protection hidden="1"/>
    </xf>
    <xf numFmtId="38" fontId="1" fillId="0" borderId="32" xfId="49" applyFont="1" applyBorder="1" applyAlignment="1" applyProtection="1">
      <alignment horizontal="center" vertical="center"/>
      <protection hidden="1"/>
    </xf>
    <xf numFmtId="38" fontId="1" fillId="0" borderId="32" xfId="49" applyFont="1" applyBorder="1" applyAlignment="1" applyProtection="1">
      <alignment horizontal="right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38" fontId="68" fillId="0" borderId="33" xfId="49" applyFont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horizontal="left"/>
      <protection hidden="1"/>
    </xf>
    <xf numFmtId="38" fontId="22" fillId="34" borderId="0" xfId="49" applyFont="1" applyFill="1" applyBorder="1" applyAlignment="1" applyProtection="1">
      <alignment vertical="center"/>
      <protection hidden="1"/>
    </xf>
    <xf numFmtId="40" fontId="22" fillId="34" borderId="0" xfId="49" applyNumberFormat="1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38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38" fontId="17" fillId="0" borderId="0" xfId="0" applyNumberFormat="1" applyFont="1" applyFill="1" applyBorder="1" applyAlignment="1" applyProtection="1">
      <alignment vertical="center"/>
      <protection hidden="1"/>
    </xf>
    <xf numFmtId="38" fontId="17" fillId="0" borderId="0" xfId="0" applyNumberFormat="1" applyFont="1" applyFill="1" applyBorder="1" applyAlignment="1" applyProtection="1">
      <alignment horizontal="distributed" vertical="center"/>
      <protection hidden="1"/>
    </xf>
    <xf numFmtId="176" fontId="17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1" fillId="0" borderId="34" xfId="0" applyFont="1" applyFill="1" applyBorder="1" applyAlignment="1" applyProtection="1">
      <alignment/>
      <protection hidden="1"/>
    </xf>
    <xf numFmtId="0" fontId="1" fillId="0" borderId="35" xfId="0" applyFont="1" applyFill="1" applyBorder="1" applyAlignment="1" applyProtection="1">
      <alignment/>
      <protection hidden="1"/>
    </xf>
    <xf numFmtId="0" fontId="1" fillId="0" borderId="36" xfId="0" applyFont="1" applyFill="1" applyBorder="1" applyAlignment="1" applyProtection="1">
      <alignment/>
      <protection hidden="1"/>
    </xf>
    <xf numFmtId="0" fontId="17" fillId="0" borderId="37" xfId="0" applyFont="1" applyFill="1" applyBorder="1" applyAlignment="1" applyProtection="1">
      <alignment vertical="center"/>
      <protection hidden="1"/>
    </xf>
    <xf numFmtId="0" fontId="16" fillId="0" borderId="38" xfId="0" applyFont="1" applyFill="1" applyBorder="1" applyAlignment="1" applyProtection="1">
      <alignment/>
      <protection hidden="1"/>
    </xf>
    <xf numFmtId="0" fontId="1" fillId="0" borderId="38" xfId="0" applyFont="1" applyFill="1" applyBorder="1" applyAlignment="1" applyProtection="1">
      <alignment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" fillId="0" borderId="40" xfId="0" applyFont="1" applyFill="1" applyBorder="1" applyAlignment="1" applyProtection="1">
      <alignment/>
      <protection hidden="1"/>
    </xf>
    <xf numFmtId="0" fontId="1" fillId="0" borderId="41" xfId="0" applyFont="1" applyFill="1" applyBorder="1" applyAlignment="1" applyProtection="1">
      <alignment/>
      <protection hidden="1"/>
    </xf>
    <xf numFmtId="38" fontId="22" fillId="0" borderId="0" xfId="49" applyFont="1" applyFill="1" applyBorder="1" applyAlignment="1" applyProtection="1">
      <alignment vertical="center"/>
      <protection hidden="1"/>
    </xf>
    <xf numFmtId="176" fontId="11" fillId="0" borderId="0" xfId="0" applyNumberFormat="1" applyFont="1" applyFill="1" applyBorder="1" applyAlignment="1" applyProtection="1">
      <alignment horizontal="center"/>
      <protection hidden="1"/>
    </xf>
    <xf numFmtId="40" fontId="22" fillId="0" borderId="0" xfId="49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38" fontId="17" fillId="0" borderId="37" xfId="49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 locked="0"/>
    </xf>
    <xf numFmtId="0" fontId="1" fillId="0" borderId="42" xfId="0" applyFont="1" applyBorder="1" applyAlignment="1" applyProtection="1">
      <alignment/>
      <protection hidden="1"/>
    </xf>
    <xf numFmtId="38" fontId="5" fillId="0" borderId="0" xfId="49" applyFont="1" applyFill="1" applyBorder="1" applyAlignment="1" applyProtection="1">
      <alignment horizontal="right" vertical="center" wrapText="1"/>
      <protection hidden="1" locked="0"/>
    </xf>
    <xf numFmtId="0" fontId="1" fillId="0" borderId="43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vertical="center"/>
      <protection hidden="1"/>
    </xf>
    <xf numFmtId="0" fontId="1" fillId="0" borderId="45" xfId="0" applyFont="1" applyBorder="1" applyAlignment="1" applyProtection="1">
      <alignment vertical="center"/>
      <protection hidden="1"/>
    </xf>
    <xf numFmtId="0" fontId="1" fillId="0" borderId="46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47" xfId="0" applyFont="1" applyBorder="1" applyAlignment="1" applyProtection="1">
      <alignment vertical="center"/>
      <protection hidden="1"/>
    </xf>
    <xf numFmtId="38" fontId="1" fillId="0" borderId="46" xfId="49" applyFont="1" applyBorder="1" applyAlignment="1" applyProtection="1">
      <alignment vertical="center"/>
      <protection hidden="1"/>
    </xf>
    <xf numFmtId="38" fontId="1" fillId="0" borderId="13" xfId="49" applyFont="1" applyBorder="1" applyAlignment="1" applyProtection="1">
      <alignment vertical="center"/>
      <protection hidden="1"/>
    </xf>
    <xf numFmtId="38" fontId="1" fillId="0" borderId="47" xfId="49" applyFont="1" applyBorder="1" applyAlignment="1" applyProtection="1">
      <alignment vertical="center"/>
      <protection hidden="1"/>
    </xf>
    <xf numFmtId="38" fontId="1" fillId="0" borderId="48" xfId="49" applyFont="1" applyBorder="1" applyAlignment="1" applyProtection="1">
      <alignment vertical="center"/>
      <protection hidden="1"/>
    </xf>
    <xf numFmtId="38" fontId="1" fillId="0" borderId="49" xfId="49" applyFont="1" applyBorder="1" applyAlignment="1" applyProtection="1">
      <alignment vertical="center"/>
      <protection hidden="1"/>
    </xf>
    <xf numFmtId="38" fontId="1" fillId="0" borderId="50" xfId="49" applyFont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205" fontId="1" fillId="0" borderId="52" xfId="49" applyNumberFormat="1" applyFont="1" applyBorder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1" fillId="35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center" vertical="center"/>
      <protection hidden="1"/>
    </xf>
    <xf numFmtId="38" fontId="1" fillId="0" borderId="11" xfId="49" applyFont="1" applyBorder="1" applyAlignment="1" applyProtection="1">
      <alignment horizontal="right" vertical="center"/>
      <protection hidden="1"/>
    </xf>
    <xf numFmtId="38" fontId="1" fillId="0" borderId="11" xfId="49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40" fontId="22" fillId="0" borderId="53" xfId="49" applyNumberFormat="1" applyFont="1" applyFill="1" applyBorder="1" applyAlignment="1" applyProtection="1">
      <alignment horizontal="center" vertical="center"/>
      <protection hidden="1"/>
    </xf>
    <xf numFmtId="38" fontId="69" fillId="0" borderId="52" xfId="0" applyNumberFormat="1" applyFont="1" applyFill="1" applyBorder="1" applyAlignment="1" applyProtection="1">
      <alignment horizontal="right" vertical="center"/>
      <protection hidden="1"/>
    </xf>
    <xf numFmtId="0" fontId="69" fillId="0" borderId="33" xfId="0" applyFont="1" applyFill="1" applyBorder="1" applyAlignment="1" applyProtection="1">
      <alignment horizontal="right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left" vertical="center" wrapText="1"/>
      <protection hidden="1"/>
    </xf>
    <xf numFmtId="0" fontId="11" fillId="0" borderId="57" xfId="0" applyFont="1" applyBorder="1" applyAlignment="1" applyProtection="1">
      <alignment horizontal="left" vertical="center" wrapText="1"/>
      <protection hidden="1"/>
    </xf>
    <xf numFmtId="0" fontId="11" fillId="0" borderId="58" xfId="0" applyFont="1" applyBorder="1" applyAlignment="1" applyProtection="1">
      <alignment horizontal="left" vertical="center" wrapText="1"/>
      <protection hidden="1"/>
    </xf>
    <xf numFmtId="0" fontId="11" fillId="0" borderId="42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59" xfId="0" applyFont="1" applyBorder="1" applyAlignment="1" applyProtection="1">
      <alignment horizontal="left" vertical="center" wrapText="1"/>
      <protection hidden="1"/>
    </xf>
    <xf numFmtId="0" fontId="11" fillId="0" borderId="60" xfId="0" applyFont="1" applyBorder="1" applyAlignment="1" applyProtection="1">
      <alignment horizontal="left" vertical="center" wrapText="1"/>
      <protection hidden="1"/>
    </xf>
    <xf numFmtId="0" fontId="11" fillId="0" borderId="61" xfId="0" applyFont="1" applyBorder="1" applyAlignment="1" applyProtection="1">
      <alignment horizontal="left" vertical="center" wrapText="1"/>
      <protection hidden="1"/>
    </xf>
    <xf numFmtId="0" fontId="11" fillId="0" borderId="62" xfId="0" applyFont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63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38" fontId="10" fillId="0" borderId="0" xfId="49" applyFont="1" applyFill="1" applyBorder="1" applyAlignment="1" applyProtection="1">
      <alignment horizontal="right" vertical="center"/>
      <protection hidden="1" locked="0"/>
    </xf>
    <xf numFmtId="38" fontId="8" fillId="0" borderId="0" xfId="49" applyFont="1" applyFill="1" applyBorder="1" applyAlignment="1" applyProtection="1">
      <alignment horizontal="right" vertical="center"/>
      <protection hidden="1" locked="0"/>
    </xf>
    <xf numFmtId="0" fontId="1" fillId="37" borderId="11" xfId="0" applyFont="1" applyFill="1" applyBorder="1" applyAlignment="1" applyProtection="1">
      <alignment horizontal="center" vertical="center"/>
      <protection hidden="1"/>
    </xf>
    <xf numFmtId="38" fontId="11" fillId="35" borderId="10" xfId="0" applyNumberFormat="1" applyFont="1" applyFill="1" applyBorder="1" applyAlignment="1" applyProtection="1">
      <alignment horizontal="center" vertical="center"/>
      <protection hidden="1"/>
    </xf>
    <xf numFmtId="38" fontId="17" fillId="0" borderId="0" xfId="0" applyNumberFormat="1" applyFont="1" applyFill="1" applyBorder="1" applyAlignment="1" applyProtection="1">
      <alignment horizontal="center" vertical="center"/>
      <protection hidden="1"/>
    </xf>
    <xf numFmtId="38" fontId="1" fillId="0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68" fillId="0" borderId="52" xfId="0" applyFont="1" applyBorder="1" applyAlignment="1" applyProtection="1">
      <alignment horizontal="center" vertical="center"/>
      <protection hidden="1"/>
    </xf>
    <xf numFmtId="0" fontId="68" fillId="0" borderId="32" xfId="0" applyFont="1" applyBorder="1" applyAlignment="1" applyProtection="1">
      <alignment horizontal="center" vertical="center"/>
      <protection hidden="1"/>
    </xf>
    <xf numFmtId="0" fontId="68" fillId="0" borderId="33" xfId="0" applyFont="1" applyBorder="1" applyAlignment="1" applyProtection="1">
      <alignment horizontal="center" vertical="center"/>
      <protection hidden="1"/>
    </xf>
    <xf numFmtId="38" fontId="1" fillId="0" borderId="45" xfId="49" applyFont="1" applyBorder="1" applyAlignment="1" applyProtection="1">
      <alignment horizontal="right" vertical="center"/>
      <protection hidden="1"/>
    </xf>
    <xf numFmtId="38" fontId="1" fillId="0" borderId="47" xfId="49" applyFont="1" applyBorder="1" applyAlignment="1" applyProtection="1">
      <alignment horizontal="right" vertical="center"/>
      <protection hidden="1"/>
    </xf>
    <xf numFmtId="38" fontId="1" fillId="0" borderId="50" xfId="49" applyFont="1" applyBorder="1" applyAlignment="1" applyProtection="1">
      <alignment horizontal="right" vertical="center"/>
      <protection hidden="1"/>
    </xf>
    <xf numFmtId="38" fontId="1" fillId="0" borderId="11" xfId="0" applyNumberFormat="1" applyFont="1" applyBorder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horizontal="right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38" fontId="1" fillId="0" borderId="43" xfId="49" applyFont="1" applyBorder="1" applyAlignment="1" applyProtection="1">
      <alignment horizontal="right" vertical="center"/>
      <protection hidden="1"/>
    </xf>
    <xf numFmtId="38" fontId="1" fillId="0" borderId="46" xfId="49" applyFont="1" applyBorder="1" applyAlignment="1" applyProtection="1">
      <alignment horizontal="right" vertical="center"/>
      <protection hidden="1"/>
    </xf>
    <xf numFmtId="38" fontId="1" fillId="0" borderId="48" xfId="49" applyFont="1" applyBorder="1" applyAlignment="1" applyProtection="1">
      <alignment horizontal="right" vertical="center"/>
      <protection hidden="1"/>
    </xf>
    <xf numFmtId="38" fontId="11" fillId="36" borderId="22" xfId="0" applyNumberFormat="1" applyFont="1" applyFill="1" applyBorder="1" applyAlignment="1" applyProtection="1">
      <alignment horizontal="center" vertical="center"/>
      <protection hidden="1"/>
    </xf>
    <xf numFmtId="38" fontId="11" fillId="36" borderId="54" xfId="0" applyNumberFormat="1" applyFont="1" applyFill="1" applyBorder="1" applyAlignment="1" applyProtection="1">
      <alignment horizontal="center" vertical="center"/>
      <protection hidden="1"/>
    </xf>
    <xf numFmtId="38" fontId="11" fillId="36" borderId="55" xfId="0" applyNumberFormat="1" applyFont="1" applyFill="1" applyBorder="1" applyAlignment="1" applyProtection="1">
      <alignment horizontal="center" vertical="center"/>
      <protection hidden="1"/>
    </xf>
    <xf numFmtId="38" fontId="11" fillId="37" borderId="22" xfId="0" applyNumberFormat="1" applyFont="1" applyFill="1" applyBorder="1" applyAlignment="1" applyProtection="1">
      <alignment horizontal="center" vertical="center"/>
      <protection hidden="1"/>
    </xf>
    <xf numFmtId="38" fontId="11" fillId="37" borderId="54" xfId="0" applyNumberFormat="1" applyFont="1" applyFill="1" applyBorder="1" applyAlignment="1" applyProtection="1">
      <alignment horizontal="center" vertical="center"/>
      <protection hidden="1"/>
    </xf>
    <xf numFmtId="38" fontId="11" fillId="37" borderId="55" xfId="0" applyNumberFormat="1" applyFont="1" applyFill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Border="1" applyAlignment="1" applyProtection="1">
      <alignment horizontal="center"/>
      <protection hidden="1"/>
    </xf>
    <xf numFmtId="38" fontId="1" fillId="0" borderId="44" xfId="49" applyFont="1" applyBorder="1" applyAlignment="1" applyProtection="1">
      <alignment horizontal="right" vertical="center"/>
      <protection hidden="1"/>
    </xf>
    <xf numFmtId="38" fontId="1" fillId="0" borderId="13" xfId="49" applyFont="1" applyBorder="1" applyAlignment="1" applyProtection="1">
      <alignment horizontal="right" vertical="center"/>
      <protection hidden="1"/>
    </xf>
    <xf numFmtId="38" fontId="1" fillId="0" borderId="49" xfId="49" applyFont="1" applyBorder="1" applyAlignment="1" applyProtection="1">
      <alignment horizontal="right" vertical="center"/>
      <protection hidden="1"/>
    </xf>
    <xf numFmtId="38" fontId="1" fillId="38" borderId="11" xfId="0" applyNumberFormat="1" applyFont="1" applyFill="1" applyBorder="1" applyAlignment="1" applyProtection="1">
      <alignment horizontal="right" vertical="center"/>
      <protection hidden="1"/>
    </xf>
    <xf numFmtId="0" fontId="1" fillId="38" borderId="11" xfId="0" applyFont="1" applyFill="1" applyBorder="1" applyAlignment="1" applyProtection="1">
      <alignment horizontal="right" vertical="center"/>
      <protection hidden="1"/>
    </xf>
    <xf numFmtId="0" fontId="17" fillId="0" borderId="37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38" fontId="17" fillId="0" borderId="0" xfId="49" applyFont="1" applyFill="1" applyBorder="1" applyAlignment="1" applyProtection="1">
      <alignment horizontal="center" vertical="center"/>
      <protection hidden="1"/>
    </xf>
    <xf numFmtId="38" fontId="17" fillId="0" borderId="0" xfId="0" applyNumberFormat="1" applyFont="1" applyFill="1" applyBorder="1" applyAlignment="1" applyProtection="1">
      <alignment horizontal="center" vertical="distributed"/>
      <protection hidden="1"/>
    </xf>
    <xf numFmtId="49" fontId="15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38" fontId="22" fillId="0" borderId="37" xfId="49" applyFont="1" applyFill="1" applyBorder="1" applyAlignment="1" applyProtection="1">
      <alignment horizontal="center" vertical="center"/>
      <protection hidden="1"/>
    </xf>
    <xf numFmtId="38" fontId="22" fillId="0" borderId="0" xfId="49" applyFont="1" applyFill="1" applyBorder="1" applyAlignment="1" applyProtection="1">
      <alignment horizontal="center" vertical="center"/>
      <protection hidden="1"/>
    </xf>
    <xf numFmtId="38" fontId="22" fillId="0" borderId="39" xfId="49" applyFont="1" applyFill="1" applyBorder="1" applyAlignment="1" applyProtection="1">
      <alignment horizontal="center" vertical="center"/>
      <protection hidden="1"/>
    </xf>
    <xf numFmtId="38" fontId="22" fillId="0" borderId="40" xfId="49" applyFont="1" applyFill="1" applyBorder="1" applyAlignment="1" applyProtection="1">
      <alignment horizontal="center" vertical="center"/>
      <protection hidden="1"/>
    </xf>
    <xf numFmtId="40" fontId="22" fillId="0" borderId="38" xfId="49" applyNumberFormat="1" applyFont="1" applyFill="1" applyBorder="1" applyAlignment="1" applyProtection="1">
      <alignment horizontal="center" vertical="center"/>
      <protection hidden="1"/>
    </xf>
    <xf numFmtId="40" fontId="22" fillId="0" borderId="41" xfId="49" applyNumberFormat="1" applyFont="1" applyFill="1" applyBorder="1" applyAlignment="1" applyProtection="1">
      <alignment horizontal="center" vertical="center"/>
      <protection hidden="1"/>
    </xf>
    <xf numFmtId="0" fontId="7" fillId="0" borderId="52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0" fontId="5" fillId="0" borderId="52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38" fontId="11" fillId="0" borderId="34" xfId="49" applyFont="1" applyFill="1" applyBorder="1" applyAlignment="1" applyProtection="1">
      <alignment horizontal="center" vertical="center"/>
      <protection hidden="1"/>
    </xf>
    <xf numFmtId="38" fontId="11" fillId="0" borderId="35" xfId="49" applyFont="1" applyFill="1" applyBorder="1" applyAlignment="1" applyProtection="1">
      <alignment horizontal="center" vertical="center"/>
      <protection hidden="1"/>
    </xf>
    <xf numFmtId="38" fontId="11" fillId="0" borderId="36" xfId="49" applyFont="1" applyFill="1" applyBorder="1" applyAlignment="1" applyProtection="1">
      <alignment horizontal="center" vertical="center"/>
      <protection hidden="1"/>
    </xf>
    <xf numFmtId="0" fontId="7" fillId="0" borderId="65" xfId="0" applyFont="1" applyFill="1" applyBorder="1" applyAlignment="1" applyProtection="1">
      <alignment horizontal="center" wrapText="1"/>
      <protection hidden="1"/>
    </xf>
    <xf numFmtId="0" fontId="7" fillId="0" borderId="66" xfId="0" applyFont="1" applyFill="1" applyBorder="1" applyAlignment="1" applyProtection="1">
      <alignment horizontal="center"/>
      <protection hidden="1"/>
    </xf>
    <xf numFmtId="0" fontId="7" fillId="0" borderId="67" xfId="0" applyFont="1" applyFill="1" applyBorder="1" applyAlignment="1" applyProtection="1">
      <alignment horizontal="center"/>
      <protection hidden="1"/>
    </xf>
    <xf numFmtId="38" fontId="22" fillId="0" borderId="68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font>
        <b/>
        <i val="0"/>
        <color rgb="FF3333CC"/>
      </font>
      <fill>
        <patternFill>
          <bgColor rgb="FFFF99CC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 patternType="solid">
          <bgColor indexed="45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fgColor indexed="64"/>
          <bgColor rgb="FFFFFF66"/>
        </patternFill>
      </fill>
    </dxf>
    <dxf>
      <font>
        <b/>
        <i val="0"/>
        <color auto="1"/>
      </font>
      <fill>
        <patternFill>
          <bgColor theme="3" tint="0.7999799847602844"/>
        </patternFill>
      </fill>
    </dxf>
    <dxf>
      <font>
        <b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66"/>
        </patternFill>
      </fill>
    </dxf>
    <dxf>
      <font>
        <b/>
        <i val="0"/>
        <color indexed="8"/>
      </font>
      <fill>
        <patternFill>
          <bgColor theme="3" tint="0.7999799847602844"/>
        </patternFill>
      </fill>
    </dxf>
    <dxf>
      <font>
        <color indexed="12"/>
      </font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ont>
        <color rgb="FF0000FF"/>
      </font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theme="3" tint="0.7999799847602844"/>
        </patternFill>
      </fill>
      <border/>
    </dxf>
    <dxf>
      <font>
        <b/>
        <i val="0"/>
        <color auto="1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>
          <bgColor rgb="FFFF99FF"/>
        </patternFill>
      </fill>
      <border/>
    </dxf>
    <dxf>
      <font>
        <b/>
        <i val="0"/>
        <color auto="1"/>
      </font>
      <fill>
        <patternFill>
          <bgColor theme="3" tint="0.7999799847602844"/>
        </patternFill>
      </fill>
      <border/>
    </dxf>
    <dxf>
      <font>
        <b/>
        <i val="0"/>
        <color auto="1"/>
      </font>
      <fill>
        <patternFill>
          <fgColor indexed="64"/>
          <bgColor rgb="FFFFFF66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FF"/>
      </font>
      <fill>
        <patternFill patternType="solid"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33CC"/>
      </font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8"/>
          <c:y val="0.07225"/>
          <c:w val="0.943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'試算'!$R$7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'試算'!$S$40:$U$40</c:f>
              <c:numCache>
                <c:ptCount val="3"/>
              </c:numCache>
            </c:numRef>
          </c:val>
        </c:ser>
        <c:axId val="51857655"/>
        <c:axId val="64065712"/>
      </c:bar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5712"/>
        <c:crosses val="autoZero"/>
        <c:auto val="1"/>
        <c:lblOffset val="100"/>
        <c:tickLblSkip val="1"/>
        <c:noMultiLvlLbl val="0"/>
      </c:catAx>
      <c:valAx>
        <c:axId val="64065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7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75"/>
          <c:y val="0.5095"/>
          <c:w val="0.023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171450</xdr:rowOff>
    </xdr:from>
    <xdr:to>
      <xdr:col>3</xdr:col>
      <xdr:colOff>209550</xdr:colOff>
      <xdr:row>8</xdr:row>
      <xdr:rowOff>19050</xdr:rowOff>
    </xdr:to>
    <xdr:sp>
      <xdr:nvSpPr>
        <xdr:cNvPr id="1" name="Rectangle 33"/>
        <xdr:cNvSpPr>
          <a:spLocks/>
        </xdr:cNvSpPr>
      </xdr:nvSpPr>
      <xdr:spPr>
        <a:xfrm>
          <a:off x="257175" y="333375"/>
          <a:ext cx="78105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8</xdr:col>
      <xdr:colOff>0</xdr:colOff>
      <xdr:row>8</xdr:row>
      <xdr:rowOff>19050</xdr:rowOff>
    </xdr:to>
    <xdr:sp>
      <xdr:nvSpPr>
        <xdr:cNvPr id="2" name="Rectangle 34"/>
        <xdr:cNvSpPr>
          <a:spLocks/>
        </xdr:cNvSpPr>
      </xdr:nvSpPr>
      <xdr:spPr>
        <a:xfrm>
          <a:off x="1066800" y="333375"/>
          <a:ext cx="97155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0</xdr:rowOff>
    </xdr:from>
    <xdr:to>
      <xdr:col>10</xdr:col>
      <xdr:colOff>180975</xdr:colOff>
      <xdr:row>8</xdr:row>
      <xdr:rowOff>19050</xdr:rowOff>
    </xdr:to>
    <xdr:sp>
      <xdr:nvSpPr>
        <xdr:cNvPr id="3" name="Rectangle 35"/>
        <xdr:cNvSpPr>
          <a:spLocks/>
        </xdr:cNvSpPr>
      </xdr:nvSpPr>
      <xdr:spPr>
        <a:xfrm>
          <a:off x="2066925" y="333375"/>
          <a:ext cx="9144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</xdr:row>
      <xdr:rowOff>0</xdr:rowOff>
    </xdr:from>
    <xdr:to>
      <xdr:col>6</xdr:col>
      <xdr:colOff>266700</xdr:colOff>
      <xdr:row>1</xdr:row>
      <xdr:rowOff>114300</xdr:rowOff>
    </xdr:to>
    <xdr:sp>
      <xdr:nvSpPr>
        <xdr:cNvPr id="4" name="Text Box 65"/>
        <xdr:cNvSpPr txBox="1">
          <a:spLocks noChangeArrowheads="1"/>
        </xdr:cNvSpPr>
      </xdr:nvSpPr>
      <xdr:spPr>
        <a:xfrm>
          <a:off x="276225" y="161925"/>
          <a:ext cx="1495425" cy="1143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桃色の箇所を全て入力してください。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13</xdr:col>
      <xdr:colOff>428625</xdr:colOff>
      <xdr:row>8</xdr:row>
      <xdr:rowOff>19050</xdr:rowOff>
    </xdr:to>
    <xdr:sp>
      <xdr:nvSpPr>
        <xdr:cNvPr id="5" name="Rectangle 71"/>
        <xdr:cNvSpPr>
          <a:spLocks/>
        </xdr:cNvSpPr>
      </xdr:nvSpPr>
      <xdr:spPr>
        <a:xfrm>
          <a:off x="3009900" y="333375"/>
          <a:ext cx="82867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66675</xdr:rowOff>
    </xdr:from>
    <xdr:to>
      <xdr:col>3</xdr:col>
      <xdr:colOff>133350</xdr:colOff>
      <xdr:row>3</xdr:row>
      <xdr:rowOff>304800</xdr:rowOff>
    </xdr:to>
    <xdr:sp>
      <xdr:nvSpPr>
        <xdr:cNvPr id="6" name="Text Box 76"/>
        <xdr:cNvSpPr txBox="1">
          <a:spLocks noChangeArrowheads="1"/>
        </xdr:cNvSpPr>
      </xdr:nvSpPr>
      <xdr:spPr>
        <a:xfrm>
          <a:off x="276225" y="400050"/>
          <a:ext cx="685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①国民健康保険に加入する人数を選択してください。</a:t>
          </a:r>
        </a:p>
      </xdr:txBody>
    </xdr:sp>
    <xdr:clientData/>
  </xdr:twoCellAnchor>
  <xdr:twoCellAnchor>
    <xdr:from>
      <xdr:col>3</xdr:col>
      <xdr:colOff>285750</xdr:colOff>
      <xdr:row>2</xdr:row>
      <xdr:rowOff>66675</xdr:rowOff>
    </xdr:from>
    <xdr:to>
      <xdr:col>6</xdr:col>
      <xdr:colOff>457200</xdr:colOff>
      <xdr:row>3</xdr:row>
      <xdr:rowOff>228600</xdr:rowOff>
    </xdr:to>
    <xdr:sp>
      <xdr:nvSpPr>
        <xdr:cNvPr id="7" name="Text Box 77"/>
        <xdr:cNvSpPr txBox="1">
          <a:spLocks noChangeArrowheads="1"/>
        </xdr:cNvSpPr>
      </xdr:nvSpPr>
      <xdr:spPr>
        <a:xfrm>
          <a:off x="1114425" y="400050"/>
          <a:ext cx="847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②前年の総所得金額等を入力してください。</a:t>
          </a:r>
          <a:r>
            <a:rPr lang="en-US" cap="none" sz="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38100</xdr:colOff>
      <xdr:row>2</xdr:row>
      <xdr:rowOff>66675</xdr:rowOff>
    </xdr:from>
    <xdr:to>
      <xdr:col>10</xdr:col>
      <xdr:colOff>152400</xdr:colOff>
      <xdr:row>3</xdr:row>
      <xdr:rowOff>152400</xdr:rowOff>
    </xdr:to>
    <xdr:sp>
      <xdr:nvSpPr>
        <xdr:cNvPr id="8" name="Text Box 78"/>
        <xdr:cNvSpPr txBox="1">
          <a:spLocks noChangeArrowheads="1"/>
        </xdr:cNvSpPr>
      </xdr:nvSpPr>
      <xdr:spPr>
        <a:xfrm>
          <a:off x="2076450" y="400050"/>
          <a:ext cx="876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③年齢が４０歳から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６４歳の方ですか？</a:t>
          </a:r>
        </a:p>
      </xdr:txBody>
    </xdr:sp>
    <xdr:clientData/>
  </xdr:twoCellAnchor>
  <xdr:twoCellAnchor>
    <xdr:from>
      <xdr:col>10</xdr:col>
      <xdr:colOff>257175</xdr:colOff>
      <xdr:row>2</xdr:row>
      <xdr:rowOff>38100</xdr:rowOff>
    </xdr:from>
    <xdr:to>
      <xdr:col>13</xdr:col>
      <xdr:colOff>390525</xdr:colOff>
      <xdr:row>3</xdr:row>
      <xdr:rowOff>161925</xdr:rowOff>
    </xdr:to>
    <xdr:sp>
      <xdr:nvSpPr>
        <xdr:cNvPr id="9" name="Text Box 80"/>
        <xdr:cNvSpPr txBox="1">
          <a:spLocks noChangeArrowheads="1"/>
        </xdr:cNvSpPr>
      </xdr:nvSpPr>
      <xdr:spPr>
        <a:xfrm>
          <a:off x="3057525" y="371475"/>
          <a:ext cx="742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④加入する月を選択してください。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14</xdr:col>
      <xdr:colOff>19050</xdr:colOff>
      <xdr:row>2</xdr:row>
      <xdr:rowOff>0</xdr:rowOff>
    </xdr:from>
    <xdr:to>
      <xdr:col>16</xdr:col>
      <xdr:colOff>314325</xdr:colOff>
      <xdr:row>8</xdr:row>
      <xdr:rowOff>19050</xdr:rowOff>
    </xdr:to>
    <xdr:sp>
      <xdr:nvSpPr>
        <xdr:cNvPr id="10" name="Rectangle 87"/>
        <xdr:cNvSpPr>
          <a:spLocks/>
        </xdr:cNvSpPr>
      </xdr:nvSpPr>
      <xdr:spPr>
        <a:xfrm>
          <a:off x="3867150" y="333375"/>
          <a:ext cx="90487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</xdr:row>
      <xdr:rowOff>38100</xdr:rowOff>
    </xdr:from>
    <xdr:to>
      <xdr:col>16</xdr:col>
      <xdr:colOff>295275</xdr:colOff>
      <xdr:row>3</xdr:row>
      <xdr:rowOff>180975</xdr:rowOff>
    </xdr:to>
    <xdr:sp>
      <xdr:nvSpPr>
        <xdr:cNvPr id="11" name="Text Box 88"/>
        <xdr:cNvSpPr txBox="1">
          <a:spLocks noChangeArrowheads="1"/>
        </xdr:cNvSpPr>
      </xdr:nvSpPr>
      <xdr:spPr>
        <a:xfrm>
          <a:off x="3886200" y="371475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⑤役場へ手続きに来る月を選択してください。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10</xdr:col>
      <xdr:colOff>123825</xdr:colOff>
      <xdr:row>0</xdr:row>
      <xdr:rowOff>9525</xdr:rowOff>
    </xdr:from>
    <xdr:to>
      <xdr:col>21</xdr:col>
      <xdr:colOff>47625</xdr:colOff>
      <xdr:row>1</xdr:row>
      <xdr:rowOff>152400</xdr:rowOff>
    </xdr:to>
    <xdr:sp>
      <xdr:nvSpPr>
        <xdr:cNvPr id="12" name="Text Box 94"/>
        <xdr:cNvSpPr txBox="1">
          <a:spLocks noChangeArrowheads="1"/>
        </xdr:cNvSpPr>
      </xdr:nvSpPr>
      <xdr:spPr>
        <a:xfrm>
          <a:off x="2924175" y="9525"/>
          <a:ext cx="3238500" cy="3048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このﾌｫｰﾑで試算できるのは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人までで、加入する月、手続きをする月が共に令和５年度中の場合です。金額はあくまで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概算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219075</xdr:colOff>
      <xdr:row>7</xdr:row>
      <xdr:rowOff>114300</xdr:rowOff>
    </xdr:to>
    <xdr:sp>
      <xdr:nvSpPr>
        <xdr:cNvPr id="13" name="テキスト ボックス 2"/>
        <xdr:cNvSpPr txBox="1">
          <a:spLocks noChangeArrowheads="1"/>
        </xdr:cNvSpPr>
      </xdr:nvSpPr>
      <xdr:spPr>
        <a:xfrm>
          <a:off x="9525" y="333375"/>
          <a:ext cx="209550" cy="104775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　件　設　定</a:t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219075</xdr:colOff>
      <xdr:row>29</xdr:row>
      <xdr:rowOff>9525</xdr:rowOff>
    </xdr:to>
    <xdr:sp>
      <xdr:nvSpPr>
        <xdr:cNvPr id="14" name="テキスト ボックス 19"/>
        <xdr:cNvSpPr txBox="1">
          <a:spLocks noChangeArrowheads="1"/>
        </xdr:cNvSpPr>
      </xdr:nvSpPr>
      <xdr:spPr>
        <a:xfrm>
          <a:off x="9525" y="1438275"/>
          <a:ext cx="209550" cy="16859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算　内　訳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219075</xdr:colOff>
      <xdr:row>36</xdr:row>
      <xdr:rowOff>0</xdr:rowOff>
    </xdr:to>
    <xdr:sp>
      <xdr:nvSpPr>
        <xdr:cNvPr id="15" name="テキスト ボックス 20"/>
        <xdr:cNvSpPr txBox="1">
          <a:spLocks noChangeArrowheads="1"/>
        </xdr:cNvSpPr>
      </xdr:nvSpPr>
      <xdr:spPr>
        <a:xfrm>
          <a:off x="9525" y="3143250"/>
          <a:ext cx="209550" cy="85725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試算結果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9</xdr:col>
      <xdr:colOff>9525</xdr:colOff>
      <xdr:row>31</xdr:row>
      <xdr:rowOff>0</xdr:rowOff>
    </xdr:to>
    <xdr:sp>
      <xdr:nvSpPr>
        <xdr:cNvPr id="16" name="テキスト ボックス 22"/>
        <xdr:cNvSpPr txBox="1">
          <a:spLocks noChangeArrowheads="1"/>
        </xdr:cNvSpPr>
      </xdr:nvSpPr>
      <xdr:spPr>
        <a:xfrm>
          <a:off x="2057400" y="3162300"/>
          <a:ext cx="476250" cy="123825"/>
        </a:xfrm>
        <a:prstGeom prst="rect">
          <a:avLst/>
        </a:prstGeom>
        <a:noFill/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概　要</a:t>
          </a:r>
        </a:p>
      </xdr:txBody>
    </xdr:sp>
    <xdr:clientData/>
  </xdr:twoCellAnchor>
  <xdr:twoCellAnchor>
    <xdr:from>
      <xdr:col>6</xdr:col>
      <xdr:colOff>400050</xdr:colOff>
      <xdr:row>24</xdr:row>
      <xdr:rowOff>57150</xdr:rowOff>
    </xdr:from>
    <xdr:to>
      <xdr:col>8</xdr:col>
      <xdr:colOff>0</xdr:colOff>
      <xdr:row>24</xdr:row>
      <xdr:rowOff>57150</xdr:rowOff>
    </xdr:to>
    <xdr:sp>
      <xdr:nvSpPr>
        <xdr:cNvPr id="17" name="直線矢印コネクタ 9"/>
        <xdr:cNvSpPr>
          <a:spLocks/>
        </xdr:cNvSpPr>
      </xdr:nvSpPr>
      <xdr:spPr>
        <a:xfrm>
          <a:off x="1905000" y="2924175"/>
          <a:ext cx="133350" cy="0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22</xdr:row>
      <xdr:rowOff>76200</xdr:rowOff>
    </xdr:from>
    <xdr:to>
      <xdr:col>8</xdr:col>
      <xdr:colOff>19050</xdr:colOff>
      <xdr:row>22</xdr:row>
      <xdr:rowOff>76200</xdr:rowOff>
    </xdr:to>
    <xdr:sp>
      <xdr:nvSpPr>
        <xdr:cNvPr id="18" name="直線矢印コネクタ 34"/>
        <xdr:cNvSpPr>
          <a:spLocks/>
        </xdr:cNvSpPr>
      </xdr:nvSpPr>
      <xdr:spPr>
        <a:xfrm>
          <a:off x="1905000" y="2819400"/>
          <a:ext cx="152400" cy="0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</xdr:row>
      <xdr:rowOff>19050</xdr:rowOff>
    </xdr:from>
    <xdr:to>
      <xdr:col>22</xdr:col>
      <xdr:colOff>0</xdr:colOff>
      <xdr:row>5</xdr:row>
      <xdr:rowOff>95250</xdr:rowOff>
    </xdr:to>
    <xdr:sp>
      <xdr:nvSpPr>
        <xdr:cNvPr id="19" name="Text Box 77"/>
        <xdr:cNvSpPr txBox="1">
          <a:spLocks noChangeArrowheads="1"/>
        </xdr:cNvSpPr>
      </xdr:nvSpPr>
      <xdr:spPr>
        <a:xfrm>
          <a:off x="4772025" y="352425"/>
          <a:ext cx="1590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⑥国民健康保険加入者ではない世帯主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今回も加入しない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が居る場合は、その方の前年の総所得金額等を入力してください。居ない場合は０を入力してください。（軽減判定に必要です）</a:t>
          </a:r>
        </a:p>
      </xdr:txBody>
    </xdr:sp>
    <xdr:clientData/>
  </xdr:twoCellAnchor>
  <xdr:twoCellAnchor>
    <xdr:from>
      <xdr:col>17</xdr:col>
      <xdr:colOff>19050</xdr:colOff>
      <xdr:row>2</xdr:row>
      <xdr:rowOff>0</xdr:rowOff>
    </xdr:from>
    <xdr:to>
      <xdr:col>22</xdr:col>
      <xdr:colOff>19050</xdr:colOff>
      <xdr:row>8</xdr:row>
      <xdr:rowOff>19050</xdr:rowOff>
    </xdr:to>
    <xdr:sp>
      <xdr:nvSpPr>
        <xdr:cNvPr id="20" name="Rectangle 34"/>
        <xdr:cNvSpPr>
          <a:spLocks/>
        </xdr:cNvSpPr>
      </xdr:nvSpPr>
      <xdr:spPr>
        <a:xfrm>
          <a:off x="4791075" y="333375"/>
          <a:ext cx="159067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AY97"/>
  <sheetViews>
    <sheetView showGridLines="0" tabSelected="1" view="pageBreakPreview" zoomScale="150" zoomScaleNormal="115" zoomScaleSheetLayoutView="150" workbookViewId="0" topLeftCell="A1">
      <pane xSplit="25" ySplit="38" topLeftCell="AX39" activePane="bottomRight" state="frozen"/>
      <selection pane="topLeft" activeCell="F5" sqref="F5:G5"/>
      <selection pane="topRight" activeCell="AZ31" sqref="AZ31"/>
      <selection pane="bottomLeft" activeCell="AI97" sqref="AI97"/>
      <selection pane="bottomRight" activeCell="C5" sqref="C5"/>
    </sheetView>
  </sheetViews>
  <sheetFormatPr defaultColWidth="9.00390625" defaultRowHeight="13.5"/>
  <cols>
    <col min="1" max="1" width="3.00390625" style="6" customWidth="1"/>
    <col min="2" max="2" width="2.375" style="7" customWidth="1"/>
    <col min="3" max="3" width="5.50390625" style="7" customWidth="1"/>
    <col min="4" max="4" width="6.375" style="6" customWidth="1"/>
    <col min="5" max="5" width="1.875" style="6" customWidth="1"/>
    <col min="6" max="6" width="0.6171875" style="3" customWidth="1"/>
    <col min="7" max="7" width="6.125" style="6" customWidth="1"/>
    <col min="8" max="8" width="0.875" style="6" customWidth="1"/>
    <col min="9" max="9" width="6.375" style="6" customWidth="1"/>
    <col min="10" max="10" width="3.625" style="3" customWidth="1"/>
    <col min="11" max="11" width="3.50390625" style="6" customWidth="1"/>
    <col min="12" max="12" width="4.00390625" style="6" customWidth="1"/>
    <col min="13" max="13" width="0.5" style="6" customWidth="1"/>
    <col min="14" max="14" width="5.75390625" style="3" customWidth="1"/>
    <col min="15" max="15" width="4.375" style="6" customWidth="1"/>
    <col min="16" max="16" width="3.625" style="6" customWidth="1"/>
    <col min="17" max="17" width="4.125" style="6" customWidth="1"/>
    <col min="18" max="18" width="0.6171875" style="6" customWidth="1"/>
    <col min="19" max="19" width="5.50390625" style="6" customWidth="1"/>
    <col min="20" max="20" width="7.25390625" style="6" customWidth="1"/>
    <col min="21" max="21" width="4.25390625" style="6" customWidth="1"/>
    <col min="22" max="22" width="3.25390625" style="6" customWidth="1"/>
    <col min="23" max="23" width="1.4921875" style="6" customWidth="1"/>
    <col min="24" max="24" width="2.00390625" style="6" customWidth="1"/>
    <col min="25" max="25" width="12.50390625" style="6" customWidth="1"/>
    <col min="26" max="26" width="1.25" style="6" customWidth="1"/>
    <col min="27" max="33" width="15.375" style="6" customWidth="1"/>
    <col min="34" max="34" width="19.625" style="6" customWidth="1"/>
    <col min="35" max="35" width="4.25390625" style="6" customWidth="1"/>
    <col min="36" max="36" width="6.25390625" style="6" customWidth="1"/>
    <col min="37" max="37" width="11.75390625" style="6" customWidth="1"/>
    <col min="38" max="38" width="12.50390625" style="6" customWidth="1"/>
    <col min="39" max="39" width="11.50390625" style="6" customWidth="1"/>
    <col min="40" max="40" width="9.75390625" style="6" hidden="1" customWidth="1"/>
    <col min="41" max="41" width="11.375" style="6" hidden="1" customWidth="1"/>
    <col min="42" max="42" width="13.50390625" style="6" hidden="1" customWidth="1"/>
    <col min="43" max="43" width="9.50390625" style="6" hidden="1" customWidth="1"/>
    <col min="44" max="44" width="13.375" style="6" hidden="1" customWidth="1"/>
    <col min="45" max="45" width="15.25390625" style="6" hidden="1" customWidth="1"/>
    <col min="46" max="46" width="11.375" style="6" hidden="1" customWidth="1"/>
    <col min="47" max="47" width="13.375" style="6" hidden="1" customWidth="1"/>
    <col min="48" max="48" width="16.50390625" style="6" hidden="1" customWidth="1"/>
    <col min="49" max="49" width="13.50390625" style="6" hidden="1" customWidth="1"/>
    <col min="50" max="50" width="18.625" style="6" hidden="1" customWidth="1"/>
    <col min="51" max="51" width="29.50390625" style="6" hidden="1" customWidth="1"/>
    <col min="52" max="52" width="5.75390625" style="6" customWidth="1"/>
    <col min="53" max="53" width="9.00390625" style="6" customWidth="1"/>
    <col min="54" max="16384" width="9.00390625" style="6" customWidth="1"/>
  </cols>
  <sheetData>
    <row r="1" spans="2:51" ht="12.75" customHeight="1" thickBot="1">
      <c r="B1" s="1" t="s">
        <v>79</v>
      </c>
      <c r="C1" s="2"/>
      <c r="D1" s="2"/>
      <c r="E1" s="2"/>
      <c r="F1" s="2"/>
      <c r="G1" s="2"/>
      <c r="H1" s="2"/>
      <c r="I1" s="2"/>
      <c r="K1" s="4"/>
      <c r="L1" s="2"/>
      <c r="M1" s="2"/>
      <c r="N1" s="2"/>
      <c r="O1" s="2"/>
      <c r="P1" s="2"/>
      <c r="Q1" s="2"/>
      <c r="R1" s="5"/>
      <c r="AL1" s="72"/>
      <c r="AM1" s="73" t="s">
        <v>19</v>
      </c>
      <c r="AN1" s="73"/>
      <c r="AO1" s="73"/>
      <c r="AP1" s="93"/>
      <c r="AQ1" s="100" t="s">
        <v>64</v>
      </c>
      <c r="AR1" s="73"/>
      <c r="AS1" s="73"/>
      <c r="AT1" s="73"/>
      <c r="AU1" s="73"/>
      <c r="AV1" s="73"/>
      <c r="AW1" s="73"/>
      <c r="AX1" s="73"/>
      <c r="AY1" s="74"/>
    </row>
    <row r="2" spans="3:51" ht="13.5" customHeight="1" thickBot="1">
      <c r="C2" s="8"/>
      <c r="D2" s="9"/>
      <c r="E2" s="10"/>
      <c r="F2" s="11"/>
      <c r="G2" s="12"/>
      <c r="J2" s="13"/>
      <c r="K2" s="12"/>
      <c r="L2" s="12"/>
      <c r="M2" s="12"/>
      <c r="N2" s="13"/>
      <c r="O2" s="14"/>
      <c r="P2" s="14"/>
      <c r="Q2" s="14"/>
      <c r="R2" s="5"/>
      <c r="AL2" s="75"/>
      <c r="AM2" s="92" t="s">
        <v>4</v>
      </c>
      <c r="AN2" s="93">
        <v>430000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76"/>
    </row>
    <row r="3" spans="2:48" ht="16.5" customHeight="1">
      <c r="B3" s="16"/>
      <c r="C3" s="16"/>
      <c r="D3" s="9"/>
      <c r="E3" s="10"/>
      <c r="F3" s="11"/>
      <c r="G3" s="12"/>
      <c r="J3" s="13"/>
      <c r="K3" s="12"/>
      <c r="L3" s="14"/>
      <c r="M3" s="14"/>
      <c r="N3" s="14"/>
      <c r="O3" s="5"/>
      <c r="AI3" s="7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76"/>
    </row>
    <row r="4" spans="2:48" ht="27" customHeight="1" thickBot="1">
      <c r="B4" s="16"/>
      <c r="C4" s="16"/>
      <c r="D4" s="9"/>
      <c r="E4" s="10"/>
      <c r="F4" s="11"/>
      <c r="G4" s="12"/>
      <c r="J4" s="13"/>
      <c r="K4" s="12"/>
      <c r="L4" s="14"/>
      <c r="M4" s="14"/>
      <c r="N4" s="14"/>
      <c r="O4" s="5"/>
      <c r="AI4" s="75"/>
      <c r="AJ4" s="17"/>
      <c r="AK4" s="158" t="s">
        <v>9</v>
      </c>
      <c r="AL4" s="158" t="s">
        <v>10</v>
      </c>
      <c r="AM4" s="158" t="s">
        <v>11</v>
      </c>
      <c r="AN4" s="5"/>
      <c r="AO4" s="69" t="s">
        <v>54</v>
      </c>
      <c r="AP4" s="69" t="s">
        <v>55</v>
      </c>
      <c r="AQ4" s="89" t="s">
        <v>56</v>
      </c>
      <c r="AR4" s="90" t="s">
        <v>57</v>
      </c>
      <c r="AS4" s="69" t="s">
        <v>63</v>
      </c>
      <c r="AT4" s="69" t="s">
        <v>66</v>
      </c>
      <c r="AU4" s="69" t="s">
        <v>65</v>
      </c>
      <c r="AV4" s="76"/>
    </row>
    <row r="5" spans="2:48" ht="10.5" customHeight="1">
      <c r="B5" s="18"/>
      <c r="C5" s="65"/>
      <c r="D5" s="187">
        <f>IF(C5&lt;&gt;"","１人目","")</f>
      </c>
      <c r="E5" s="188"/>
      <c r="F5" s="189">
        <v>0</v>
      </c>
      <c r="G5" s="189"/>
      <c r="I5" s="19">
        <f>D5</f>
      </c>
      <c r="J5" s="20" t="s">
        <v>80</v>
      </c>
      <c r="K5" s="21"/>
      <c r="L5" s="22">
        <v>4</v>
      </c>
      <c r="N5" s="23">
        <f>IF(AM44=0,"","月から")</f>
      </c>
      <c r="O5" s="5"/>
      <c r="P5" s="22">
        <v>4</v>
      </c>
      <c r="Q5" s="23">
        <f>IF(AM44=0,"","月に")</f>
      </c>
      <c r="AI5" s="75"/>
      <c r="AJ5" s="91" t="s">
        <v>5</v>
      </c>
      <c r="AK5" s="146">
        <v>0.072</v>
      </c>
      <c r="AL5" s="147">
        <v>0.0256</v>
      </c>
      <c r="AM5" s="148">
        <v>0.0211</v>
      </c>
      <c r="AN5" s="5"/>
      <c r="AO5" s="5" t="s">
        <v>67</v>
      </c>
      <c r="AP5" s="94">
        <v>430000</v>
      </c>
      <c r="AQ5" s="95">
        <v>0</v>
      </c>
      <c r="AR5" s="5">
        <f>AP5</f>
        <v>430000</v>
      </c>
      <c r="AS5" s="7">
        <f>IF(AR5&gt;=F17,"７割軽減","")</f>
      </c>
      <c r="AT5" s="7">
        <f>IF(AS5="７割軽減","○","")</f>
      </c>
      <c r="AU5" s="5" t="str">
        <f>"世帯の軽減判定所得が"&amp;AR5/10000&amp;"万円以下なので、均等割と平等割が"&amp;AS5&amp;"になります。"</f>
        <v>世帯の軽減判定所得が43万円以下なので、均等割と平等割がになります。</v>
      </c>
      <c r="AV5" s="76"/>
    </row>
    <row r="6" spans="3:48" ht="10.5" customHeight="1">
      <c r="C6" s="24"/>
      <c r="D6" s="188">
        <f>IF(OR(C5="２人",C5="３人",C5="４人"),"２人目","")</f>
      </c>
      <c r="E6" s="188"/>
      <c r="F6" s="190"/>
      <c r="G6" s="190"/>
      <c r="I6" s="19">
        <f>D6</f>
      </c>
      <c r="J6" s="20"/>
      <c r="K6" s="21"/>
      <c r="L6" s="161">
        <f>IF(AM44=0,"","加入します。")</f>
      </c>
      <c r="M6" s="162"/>
      <c r="N6" s="162"/>
      <c r="P6" s="24">
        <f>IF(AM44=0,"","手続きします。")</f>
      </c>
      <c r="AI6" s="75"/>
      <c r="AJ6" s="91" t="s">
        <v>6</v>
      </c>
      <c r="AK6" s="149">
        <v>0</v>
      </c>
      <c r="AL6" s="150">
        <v>0</v>
      </c>
      <c r="AM6" s="151">
        <v>0</v>
      </c>
      <c r="AN6" s="5"/>
      <c r="AO6" s="5" t="s">
        <v>52</v>
      </c>
      <c r="AP6" s="96">
        <v>430000</v>
      </c>
      <c r="AQ6" s="97">
        <v>295000</v>
      </c>
      <c r="AR6" s="5">
        <f>AP6+AQ6*$AM$44</f>
        <v>430000</v>
      </c>
      <c r="AS6" s="7">
        <f>IF(AR6&gt;=F17,"５割軽減","")</f>
      </c>
      <c r="AT6" s="7">
        <f>IF(AND(AS6="５割軽減",AS5=""),"○","")</f>
      </c>
      <c r="AU6" s="5" t="str">
        <f>"世帯の軽減判定所得が"&amp;AR6/10000&amp;"万円以下なので、均等割と平等割が"&amp;AS6&amp;"になります。"</f>
        <v>世帯の軽減判定所得が43万円以下なので、均等割と平等割がになります。</v>
      </c>
      <c r="AV6" s="76"/>
    </row>
    <row r="7" spans="3:48" ht="9" customHeight="1" thickBot="1">
      <c r="C7" s="24"/>
      <c r="D7" s="188">
        <f>IF(OR(C5="３人",C5="４人"),"３人目","")</f>
      </c>
      <c r="E7" s="188"/>
      <c r="F7" s="190"/>
      <c r="G7" s="190"/>
      <c r="I7" s="19">
        <f>D7</f>
      </c>
      <c r="J7" s="20"/>
      <c r="K7" s="21"/>
      <c r="L7" s="166"/>
      <c r="M7" s="166"/>
      <c r="N7" s="166"/>
      <c r="O7" s="5"/>
      <c r="R7" s="143"/>
      <c r="S7" s="143"/>
      <c r="T7" s="145">
        <v>0</v>
      </c>
      <c r="U7" s="141">
        <f>IF(AM44=0,"","円")</f>
      </c>
      <c r="AI7" s="75"/>
      <c r="AJ7" s="91" t="s">
        <v>7</v>
      </c>
      <c r="AK7" s="152">
        <v>31900</v>
      </c>
      <c r="AL7" s="153">
        <v>10300</v>
      </c>
      <c r="AM7" s="154">
        <v>11200</v>
      </c>
      <c r="AN7" s="5"/>
      <c r="AO7" s="5" t="s">
        <v>53</v>
      </c>
      <c r="AP7" s="98">
        <v>430000</v>
      </c>
      <c r="AQ7" s="99">
        <v>545000</v>
      </c>
      <c r="AR7" s="5">
        <f>AP7+AQ7*$AM$44</f>
        <v>430000</v>
      </c>
      <c r="AS7" s="7">
        <f>IF(AR7&gt;=F17,"２割軽減","")</f>
      </c>
      <c r="AT7" s="7">
        <f>IF(AND(AS7="２割軽減",AS6=""),"○","")</f>
      </c>
      <c r="AU7" s="5" t="str">
        <f>"世帯の軽減判定所得が"&amp;AR7/10000&amp;"万円以下なので、均等割と平等割が"&amp;AS7&amp;"になります。"</f>
        <v>世帯の軽減判定所得が43万円以下なので、均等割と平等割がになります。</v>
      </c>
      <c r="AV7" s="76"/>
    </row>
    <row r="8" spans="3:48" ht="9" customHeight="1" thickBot="1">
      <c r="C8" s="27"/>
      <c r="D8" s="188">
        <f>IF(C5="４人","４人目","")</f>
      </c>
      <c r="E8" s="188"/>
      <c r="F8" s="190"/>
      <c r="G8" s="190"/>
      <c r="I8" s="19">
        <f>D8</f>
      </c>
      <c r="J8" s="20"/>
      <c r="K8" s="21"/>
      <c r="L8" s="26"/>
      <c r="M8" s="26"/>
      <c r="N8" s="26"/>
      <c r="O8" s="5"/>
      <c r="AI8" s="75"/>
      <c r="AJ8" s="91" t="s">
        <v>8</v>
      </c>
      <c r="AK8" s="155">
        <v>23100</v>
      </c>
      <c r="AL8" s="156">
        <v>7900</v>
      </c>
      <c r="AM8" s="157">
        <v>6100</v>
      </c>
      <c r="AN8" s="5"/>
      <c r="AO8" s="5"/>
      <c r="AP8" s="5"/>
      <c r="AQ8" s="5"/>
      <c r="AR8" s="5"/>
      <c r="AS8" s="5"/>
      <c r="AT8" s="5">
        <f>COUNTIF(AT5:AT7,"○")</f>
        <v>0</v>
      </c>
      <c r="AU8" s="5"/>
      <c r="AV8" s="76"/>
    </row>
    <row r="9" spans="3:51" ht="4.5" customHeight="1">
      <c r="C9" s="106"/>
      <c r="D9" s="19"/>
      <c r="E9" s="19"/>
      <c r="F9" s="104"/>
      <c r="G9" s="104"/>
      <c r="H9" s="35"/>
      <c r="I9" s="105"/>
      <c r="J9" s="20"/>
      <c r="K9" s="21"/>
      <c r="L9" s="21"/>
      <c r="M9" s="28"/>
      <c r="N9" s="13"/>
      <c r="O9" s="26"/>
      <c r="P9" s="26"/>
      <c r="Q9" s="26"/>
      <c r="R9" s="5"/>
      <c r="AL9" s="75"/>
      <c r="AM9" s="204" t="s">
        <v>24</v>
      </c>
      <c r="AN9" s="206">
        <v>650000</v>
      </c>
      <c r="AO9" s="216">
        <v>220000</v>
      </c>
      <c r="AP9" s="199">
        <v>170000</v>
      </c>
      <c r="AQ9" s="5"/>
      <c r="AR9" s="5"/>
      <c r="AS9" s="5"/>
      <c r="AT9" s="5"/>
      <c r="AU9" s="5"/>
      <c r="AV9" s="5"/>
      <c r="AW9" s="5"/>
      <c r="AX9" s="5"/>
      <c r="AY9" s="76"/>
    </row>
    <row r="10" spans="2:51" ht="12.75" customHeight="1">
      <c r="B10" s="170"/>
      <c r="C10" s="163" t="s">
        <v>49</v>
      </c>
      <c r="D10" s="163" t="s">
        <v>12</v>
      </c>
      <c r="E10" s="163"/>
      <c r="F10" s="163"/>
      <c r="G10" s="163"/>
      <c r="I10" s="165" t="s">
        <v>3</v>
      </c>
      <c r="J10" s="165"/>
      <c r="K10" s="165"/>
      <c r="L10" s="165"/>
      <c r="M10" s="30"/>
      <c r="N10" s="167" t="s">
        <v>13</v>
      </c>
      <c r="O10" s="167"/>
      <c r="P10" s="167"/>
      <c r="Q10" s="167"/>
      <c r="R10" s="30"/>
      <c r="S10" s="191" t="s">
        <v>50</v>
      </c>
      <c r="T10" s="191"/>
      <c r="U10" s="191"/>
      <c r="V10" s="191"/>
      <c r="AL10" s="75"/>
      <c r="AM10" s="204"/>
      <c r="AN10" s="207"/>
      <c r="AO10" s="217"/>
      <c r="AP10" s="200"/>
      <c r="AQ10" s="29"/>
      <c r="AR10" s="5"/>
      <c r="AS10" s="5"/>
      <c r="AT10" s="5"/>
      <c r="AU10" s="5"/>
      <c r="AV10" s="5"/>
      <c r="AW10" s="5">
        <f>IF(AND(AS5&lt;&gt;"",AT5&lt;&gt;""),AS5,IF(AND(AS6&lt;&gt;"",AT6&lt;&gt;""),AS6,IF(AND(AS7&lt;&gt;"",AT7&lt;&gt;""),AS7,"")))</f>
      </c>
      <c r="AX10" s="5"/>
      <c r="AY10" s="76"/>
    </row>
    <row r="11" spans="1:51" ht="11.25" customHeight="1" thickBot="1">
      <c r="A11" s="30"/>
      <c r="B11" s="170"/>
      <c r="C11" s="163"/>
      <c r="D11" s="163"/>
      <c r="E11" s="163"/>
      <c r="F11" s="163"/>
      <c r="G11" s="163"/>
      <c r="H11" s="30"/>
      <c r="I11" s="160" t="s">
        <v>14</v>
      </c>
      <c r="J11" s="160"/>
      <c r="K11" s="160" t="s">
        <v>15</v>
      </c>
      <c r="L11" s="160"/>
      <c r="M11" s="30"/>
      <c r="N11" s="160" t="s">
        <v>14</v>
      </c>
      <c r="O11" s="160"/>
      <c r="P11" s="160" t="s">
        <v>15</v>
      </c>
      <c r="Q11" s="160"/>
      <c r="R11" s="30"/>
      <c r="S11" s="160" t="s">
        <v>14</v>
      </c>
      <c r="T11" s="160"/>
      <c r="U11" s="160" t="s">
        <v>15</v>
      </c>
      <c r="V11" s="16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L11" s="75"/>
      <c r="AM11" s="205"/>
      <c r="AN11" s="208"/>
      <c r="AO11" s="218"/>
      <c r="AP11" s="201"/>
      <c r="AQ11" s="5"/>
      <c r="AR11" s="5"/>
      <c r="AS11" s="5"/>
      <c r="AT11" s="5"/>
      <c r="AU11" s="5"/>
      <c r="AV11" s="5"/>
      <c r="AX11" s="5"/>
      <c r="AY11" s="76"/>
    </row>
    <row r="12" spans="1:51" s="30" customFormat="1" ht="9.75" customHeight="1">
      <c r="A12" s="6"/>
      <c r="B12" s="164">
        <v>1</v>
      </c>
      <c r="C12" s="164" t="s">
        <v>0</v>
      </c>
      <c r="D12" s="186" t="s">
        <v>78</v>
      </c>
      <c r="E12" s="186"/>
      <c r="F12" s="169">
        <f>IF(C5="","",IF((F5-AN2)&gt;0,(F5-AN2),0))</f>
      </c>
      <c r="G12" s="169"/>
      <c r="H12" s="6"/>
      <c r="I12" s="160" t="str">
        <f>(AK5*100)&amp;"%"</f>
        <v>7.2%</v>
      </c>
      <c r="J12" s="160"/>
      <c r="K12" s="168">
        <f>IF(F12="","",ROUNDDOWN((F12*$AK$5),0))</f>
      </c>
      <c r="L12" s="168"/>
      <c r="M12" s="3"/>
      <c r="N12" s="160" t="str">
        <f>(AL5*100)&amp;"%"</f>
        <v>2.56%</v>
      </c>
      <c r="O12" s="160"/>
      <c r="P12" s="168">
        <f>IF(F12="","",ROUNDDOWN((F12*$AL$5),0))</f>
      </c>
      <c r="Q12" s="168"/>
      <c r="R12" s="6"/>
      <c r="S12" s="160" t="str">
        <f>(AM5*100)&amp;"%"</f>
        <v>2.11%</v>
      </c>
      <c r="T12" s="160"/>
      <c r="U12" s="168">
        <f>IF(OR(F12="",J5="",J5="　",J5="いいえ"),"",ROUNDDOWN((F12*$AM$5),0))</f>
      </c>
      <c r="V12" s="168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L12" s="77"/>
      <c r="AM12" s="71"/>
      <c r="AN12" s="34"/>
      <c r="AO12" s="34"/>
      <c r="AP12" s="34"/>
      <c r="AQ12" s="5"/>
      <c r="AR12" s="5"/>
      <c r="AS12" s="5"/>
      <c r="AT12" s="5"/>
      <c r="AU12" s="5"/>
      <c r="AV12" s="5"/>
      <c r="AW12" s="5"/>
      <c r="AX12" s="5"/>
      <c r="AY12" s="76"/>
    </row>
    <row r="13" spans="2:51" ht="9.75" customHeight="1">
      <c r="B13" s="164"/>
      <c r="C13" s="164"/>
      <c r="D13" s="186"/>
      <c r="E13" s="186"/>
      <c r="F13" s="169">
        <f>IF(OR(C5="",C5="１人"),"",IF((F6-AN2)&gt;0,(F6-AN2),0))</f>
      </c>
      <c r="G13" s="169"/>
      <c r="I13" s="160"/>
      <c r="J13" s="160"/>
      <c r="K13" s="168">
        <f>IF(F13="","",ROUNDDOWN((F13*$AK$5),0))</f>
      </c>
      <c r="L13" s="168"/>
      <c r="M13" s="3"/>
      <c r="N13" s="160"/>
      <c r="O13" s="160"/>
      <c r="P13" s="168">
        <f>IF(F13="","",ROUNDDOWN((F13*$AL$5),0))</f>
      </c>
      <c r="Q13" s="168"/>
      <c r="S13" s="160"/>
      <c r="T13" s="160"/>
      <c r="U13" s="168">
        <f>IF(OR(F13="",J6="",J6="　",J6="いいえ"),"",ROUNDDOWN((F13*$AM$5),0))</f>
      </c>
      <c r="V13" s="168"/>
      <c r="AL13" s="75"/>
      <c r="AM13" s="71"/>
      <c r="AN13" s="34"/>
      <c r="AO13" s="34"/>
      <c r="AP13" s="34"/>
      <c r="AQ13" s="5"/>
      <c r="AR13" s="5"/>
      <c r="AS13" s="5"/>
      <c r="AT13" s="5"/>
      <c r="AU13" s="5"/>
      <c r="AV13" s="5"/>
      <c r="AW13" s="5"/>
      <c r="AX13" s="5"/>
      <c r="AY13" s="76"/>
    </row>
    <row r="14" spans="2:51" ht="9.75" customHeight="1">
      <c r="B14" s="164"/>
      <c r="C14" s="164"/>
      <c r="D14" s="186"/>
      <c r="E14" s="186"/>
      <c r="F14" s="169">
        <f>IF(OR(C5="",C5="１人",C5="２人"),"",IF((F7-AN2)&gt;0,(F7-AN2),0))</f>
      </c>
      <c r="G14" s="169"/>
      <c r="I14" s="160"/>
      <c r="J14" s="160"/>
      <c r="K14" s="168">
        <f>IF(F14="","",ROUNDDOWN((F14*$AK$5),0))</f>
      </c>
      <c r="L14" s="168"/>
      <c r="M14" s="3"/>
      <c r="N14" s="160"/>
      <c r="O14" s="160"/>
      <c r="P14" s="168">
        <f>IF(F14="","",ROUNDDOWN((F14*$AL$5),0))</f>
      </c>
      <c r="Q14" s="168"/>
      <c r="S14" s="160"/>
      <c r="T14" s="160"/>
      <c r="U14" s="168">
        <f>IF(OR(F14="",J7="",J7="　",J7="いいえ"),"",ROUNDDOWN((F14*$AM$5),0))</f>
      </c>
      <c r="V14" s="168"/>
      <c r="AL14" s="75"/>
      <c r="AM14" s="71"/>
      <c r="AN14" s="34"/>
      <c r="AO14" s="34"/>
      <c r="AP14" s="34"/>
      <c r="AQ14" s="5"/>
      <c r="AR14" s="5"/>
      <c r="AS14" s="5"/>
      <c r="AT14" s="5"/>
      <c r="AU14" s="5"/>
      <c r="AV14" s="5"/>
      <c r="AW14" s="5"/>
      <c r="AX14" s="5"/>
      <c r="AY14" s="76"/>
    </row>
    <row r="15" spans="2:51" ht="9.75" customHeight="1">
      <c r="B15" s="164"/>
      <c r="C15" s="164"/>
      <c r="D15" s="186"/>
      <c r="E15" s="186"/>
      <c r="F15" s="169">
        <f>IF(OR(C5="",C5="１人",C5="２人",C5="３人"),"",IF((F8-AN2)&gt;0,(F8-AN2),0))</f>
      </c>
      <c r="G15" s="169"/>
      <c r="I15" s="160"/>
      <c r="J15" s="160"/>
      <c r="K15" s="168">
        <f>IF(F15="","",ROUNDDOWN((F15*$AK$5),0))</f>
      </c>
      <c r="L15" s="168"/>
      <c r="M15" s="3"/>
      <c r="N15" s="160"/>
      <c r="O15" s="160"/>
      <c r="P15" s="168">
        <f>IF(F15="","",ROUNDDOWN((F15*$AL$5),0))</f>
      </c>
      <c r="Q15" s="168"/>
      <c r="S15" s="160"/>
      <c r="T15" s="160"/>
      <c r="U15" s="168">
        <f>IF(OR(F15="",J8="",J8="　",J8="いいえ"),"",ROUNDDOWN((F15*$AM$5),0))</f>
      </c>
      <c r="V15" s="168"/>
      <c r="AL15" s="75"/>
      <c r="AM15" s="71"/>
      <c r="AN15" s="34"/>
      <c r="AO15" s="34"/>
      <c r="AP15" s="34"/>
      <c r="AQ15" s="5"/>
      <c r="AR15" s="5"/>
      <c r="AS15" s="5"/>
      <c r="AT15" s="5"/>
      <c r="AU15" s="5"/>
      <c r="AV15" s="5"/>
      <c r="AW15" s="5"/>
      <c r="AX15" s="5"/>
      <c r="AY15" s="76"/>
    </row>
    <row r="16" spans="2:51" ht="9.75" customHeight="1">
      <c r="B16" s="164"/>
      <c r="C16" s="164"/>
      <c r="D16" s="163" t="s">
        <v>18</v>
      </c>
      <c r="E16" s="163"/>
      <c r="F16" s="169">
        <f>SUM(F12:G15)</f>
        <v>0</v>
      </c>
      <c r="G16" s="169"/>
      <c r="I16" s="163" t="s">
        <v>18</v>
      </c>
      <c r="J16" s="163"/>
      <c r="K16" s="202">
        <f>SUM(K12:L15)</f>
        <v>0</v>
      </c>
      <c r="L16" s="203"/>
      <c r="M16" s="3"/>
      <c r="N16" s="163" t="s">
        <v>18</v>
      </c>
      <c r="O16" s="163"/>
      <c r="P16" s="168">
        <f>SUM(P12:Q15)</f>
        <v>0</v>
      </c>
      <c r="Q16" s="168"/>
      <c r="S16" s="163" t="s">
        <v>18</v>
      </c>
      <c r="T16" s="163"/>
      <c r="U16" s="168">
        <f>SUM(U12:V15)</f>
        <v>0</v>
      </c>
      <c r="V16" s="168"/>
      <c r="W16" s="5"/>
      <c r="X16" s="5"/>
      <c r="Y16" s="5"/>
      <c r="AL16" s="75"/>
      <c r="AM16" s="71"/>
      <c r="AN16" s="34"/>
      <c r="AO16" s="34"/>
      <c r="AQ16" s="5"/>
      <c r="AR16" s="5"/>
      <c r="AS16" s="5"/>
      <c r="AT16" s="5"/>
      <c r="AU16" s="5"/>
      <c r="AV16" s="5"/>
      <c r="AW16" s="5"/>
      <c r="AX16" s="5"/>
      <c r="AY16" s="76"/>
    </row>
    <row r="17" spans="2:51" ht="9.75" customHeight="1">
      <c r="B17" s="235" t="s">
        <v>69</v>
      </c>
      <c r="C17" s="236"/>
      <c r="D17" s="233" t="s">
        <v>68</v>
      </c>
      <c r="E17" s="234"/>
      <c r="F17" s="172">
        <f>IF(AM44=0,"",IF(AM44=1,F5+T7,IF(AM44=2,F5+F6+T7,IF(AM44=3,F5+F6+F7+T7,SUM(F5:G8)+T7))))</f>
      </c>
      <c r="G17" s="173"/>
      <c r="I17" s="196">
        <f>IF(OR(C5="",F5="",T7=""),"",IF(AT8=0,"世帯の軽減判定所得が基準額を超えているので軽減はありません。※この世帯の基準額は"&amp;AR7/10000&amp;"万円","↓↓↓"&amp;VLOOKUP("○",AT5:AU7,2,FALSE)&amp;"↓↓↓"))</f>
      </c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8"/>
      <c r="W17" s="144"/>
      <c r="X17" s="5"/>
      <c r="Y17" s="5"/>
      <c r="AL17" s="75"/>
      <c r="AM17" s="71"/>
      <c r="AN17" s="34"/>
      <c r="AO17" s="34"/>
      <c r="AP17" s="34"/>
      <c r="AQ17" s="5"/>
      <c r="AR17" s="5"/>
      <c r="AS17" s="5"/>
      <c r="AT17" s="5"/>
      <c r="AU17" s="5"/>
      <c r="AV17" s="5"/>
      <c r="AW17" s="5"/>
      <c r="AX17" s="5"/>
      <c r="AY17" s="76"/>
    </row>
    <row r="18" spans="23:51" ht="0.75" customHeight="1">
      <c r="W18" s="35"/>
      <c r="X18" s="35"/>
      <c r="Y18" s="35"/>
      <c r="AL18" s="75"/>
      <c r="AM18" s="71"/>
      <c r="AN18" s="34"/>
      <c r="AO18" s="34"/>
      <c r="AP18" s="34"/>
      <c r="AQ18" s="5"/>
      <c r="AR18" s="5"/>
      <c r="AS18" s="5"/>
      <c r="AT18" s="5"/>
      <c r="AU18" s="5"/>
      <c r="AV18" s="5"/>
      <c r="AW18" s="5"/>
      <c r="AX18" s="5"/>
      <c r="AY18" s="76"/>
    </row>
    <row r="19" spans="2:51" ht="9" customHeight="1">
      <c r="B19" s="31">
        <v>2</v>
      </c>
      <c r="C19" s="31" t="s">
        <v>1</v>
      </c>
      <c r="D19" s="186" t="s">
        <v>16</v>
      </c>
      <c r="E19" s="186"/>
      <c r="F19" s="186"/>
      <c r="G19" s="186"/>
      <c r="I19" s="159">
        <f>AK7</f>
        <v>31900</v>
      </c>
      <c r="J19" s="111">
        <f>IF(OR(C5="",F5="",R7=""),"",IF($AW$10="７割軽減","×0.3",IF($AW$10="５割軽減","×0.5",IF($AW$10="２割軽減","×0.8",""))))</f>
      </c>
      <c r="K19" s="168">
        <f>IF(OR(C5="",F5="",J5=""),"",IF(C5="","",IF(AW10="７割軽減",AS41*AM44,IF(AW10="５割軽減",AS42*AM44,IF(AW10="２割軽減",AS43*AM44,AK7*AM44)))))</f>
      </c>
      <c r="L19" s="168"/>
      <c r="M19" s="3"/>
      <c r="N19" s="159">
        <f>AL7</f>
        <v>10300</v>
      </c>
      <c r="O19" s="111">
        <f>IF(OR(C5="",F5="",R7=""),"",IF($AW$10="７割軽減","×0.3",IF($AW$10="５割軽減","×0.5",IF($AW$10="２割軽減","×0.8",""))))</f>
      </c>
      <c r="P19" s="168">
        <f>IF(OR(C5="",F5="",J5=""),"",IF(C5="","",IF(AW10="７割軽減",AT41*AM44,IF(AW10="５割軽減",AT42*AM44,IF(AW10="２割軽減",AT43*AM44,AL7*AM44)))))</f>
      </c>
      <c r="Q19" s="168"/>
      <c r="S19" s="159">
        <f>AM7</f>
        <v>11200</v>
      </c>
      <c r="T19" s="111">
        <f>IF(OR(C5="",F5="",R7=""),"",IF($AN$44=0,"",IF($AW$10="７割軽減","×0.3",IF($AW$10="５割軽減","×0.5",IF($AW$10="２割軽減","×0.8","")))))</f>
      </c>
      <c r="U19" s="169">
        <f>IF(OR(C5="",F5="",J5=""),"",IF(AN44&gt;0,IF(AW10="７割軽減",AU41*AN44,IF(AW10="５割軽減",AU42*AN44,IF(AW10="２割軽減",AU43*AN44,AM7*AN44))),""))</f>
      </c>
      <c r="V19" s="169"/>
      <c r="W19" s="35"/>
      <c r="X19" s="35"/>
      <c r="Y19" s="35"/>
      <c r="Z19" s="3"/>
      <c r="AA19" s="3"/>
      <c r="AB19" s="3"/>
      <c r="AC19" s="3"/>
      <c r="AD19" s="3"/>
      <c r="AE19" s="3"/>
      <c r="AF19" s="3"/>
      <c r="AG19" s="3"/>
      <c r="AH19" s="3"/>
      <c r="AL19" s="75"/>
      <c r="AM19" s="71"/>
      <c r="AN19" s="34"/>
      <c r="AO19" s="34"/>
      <c r="AP19" s="34"/>
      <c r="AQ19" s="5"/>
      <c r="AR19" s="5"/>
      <c r="AS19" s="5"/>
      <c r="AT19" s="5"/>
      <c r="AU19" s="5"/>
      <c r="AV19" s="5"/>
      <c r="AW19" s="5"/>
      <c r="AX19" s="5"/>
      <c r="AY19" s="76"/>
    </row>
    <row r="20" spans="1:51" s="3" customFormat="1" ht="0.75" customHeight="1">
      <c r="A20" s="6"/>
      <c r="B20" s="103"/>
      <c r="C20" s="103"/>
      <c r="D20" s="107"/>
      <c r="E20" s="107"/>
      <c r="F20" s="107"/>
      <c r="G20" s="107"/>
      <c r="H20" s="5"/>
      <c r="I20" s="108"/>
      <c r="J20" s="108"/>
      <c r="K20" s="109"/>
      <c r="L20" s="109"/>
      <c r="M20" s="35"/>
      <c r="N20" s="108"/>
      <c r="O20" s="108"/>
      <c r="P20" s="109"/>
      <c r="Q20" s="109"/>
      <c r="R20" s="5"/>
      <c r="S20" s="108"/>
      <c r="T20" s="108"/>
      <c r="U20" s="109"/>
      <c r="V20" s="109"/>
      <c r="W20" s="5"/>
      <c r="X20" s="5"/>
      <c r="Y20" s="5"/>
      <c r="AL20" s="78"/>
      <c r="AM20" s="71"/>
      <c r="AN20" s="34"/>
      <c r="AO20" s="34"/>
      <c r="AP20" s="34"/>
      <c r="AQ20" s="5"/>
      <c r="AR20" s="5"/>
      <c r="AS20" s="5"/>
      <c r="AT20" s="5"/>
      <c r="AU20" s="5"/>
      <c r="AV20" s="5"/>
      <c r="AW20" s="5"/>
      <c r="AX20" s="5"/>
      <c r="AY20" s="76"/>
    </row>
    <row r="21" spans="2:51" s="3" customFormat="1" ht="9" customHeight="1">
      <c r="B21" s="31">
        <v>3</v>
      </c>
      <c r="C21" s="31" t="s">
        <v>2</v>
      </c>
      <c r="D21" s="186" t="s">
        <v>17</v>
      </c>
      <c r="E21" s="186"/>
      <c r="F21" s="186"/>
      <c r="G21" s="186"/>
      <c r="I21" s="159">
        <f>AK8</f>
        <v>23100</v>
      </c>
      <c r="J21" s="111">
        <f>IF(OR(C5="",F5="",R7=""),"",IF($AW$10="７割軽減","×0.3",IF($AW$10="５割軽減","×0.5",IF($AW$10="２割軽減","×0.8",""))))</f>
      </c>
      <c r="K21" s="169">
        <f>IF(OR(C5="",F5="",J5=""),"",IF((C5&lt;&gt;""),IF(AW10="７割軽減",AS45,IF(AW10="５割軽減",AS46,IF(AW10="２割軽減",AS47,AK8))),""))</f>
      </c>
      <c r="L21" s="169"/>
      <c r="N21" s="159">
        <f>AL8</f>
        <v>7900</v>
      </c>
      <c r="O21" s="111">
        <f>IF(OR(C5="",F5="",R7=""),"",IF($AW$10="７割軽減","×0.3",IF($AW$10="５割軽減","×0.5",IF($AW$10="２割軽減","×0.8",""))))</f>
      </c>
      <c r="P21" s="169">
        <f>IF(OR(C5="",F5="",J5=""),"",IF((C5&lt;&gt;""),IF(AW10="７割軽減",AT45,IF(AW10="５割軽減",AT46,IF(AW10="２割軽減",AT47,AL8))),""))</f>
      </c>
      <c r="Q21" s="169"/>
      <c r="S21" s="159">
        <f>AM8</f>
        <v>6100</v>
      </c>
      <c r="T21" s="111">
        <f>IF(OR(C5="",F5="",R7=""),"",IF($AN$44=0,"",IF($AW$10="７割軽減","×0.3",IF($AW$10="５割軽減","×0.5",IF($AW$10="２割軽減","×0.8","")))))</f>
      </c>
      <c r="U21" s="169">
        <f>IF(OR(C5="",F5="",J5=""),"",IF((U19&lt;&gt;""),IF(AW10="７割軽減",AU45,IF(AW10="５割軽減",AU46,IF(AW10="２割軽減",AU47,AM8))),""))</f>
      </c>
      <c r="V21" s="169"/>
      <c r="W21" s="35"/>
      <c r="X21" s="35"/>
      <c r="Y21" s="35"/>
      <c r="Z21" s="6"/>
      <c r="AA21" s="6"/>
      <c r="AB21" s="6"/>
      <c r="AC21" s="6"/>
      <c r="AD21" s="6"/>
      <c r="AE21" s="6"/>
      <c r="AF21" s="6"/>
      <c r="AG21" s="6"/>
      <c r="AH21" s="6"/>
      <c r="AL21" s="78"/>
      <c r="AM21" s="71"/>
      <c r="AN21" s="34"/>
      <c r="AO21" s="34"/>
      <c r="AP21" s="34"/>
      <c r="AQ21" s="5"/>
      <c r="AR21" s="5"/>
      <c r="AS21" s="5"/>
      <c r="AT21" s="5"/>
      <c r="AU21" s="5"/>
      <c r="AV21" s="5"/>
      <c r="AW21" s="5"/>
      <c r="AX21" s="5"/>
      <c r="AY21" s="76"/>
    </row>
    <row r="22" spans="1:51" ht="0.75" customHeight="1">
      <c r="A22" s="3"/>
      <c r="B22" s="32"/>
      <c r="C22" s="32"/>
      <c r="D22" s="25"/>
      <c r="E22" s="25"/>
      <c r="F22" s="25"/>
      <c r="G22" s="25"/>
      <c r="H22" s="3"/>
      <c r="I22" s="33"/>
      <c r="J22" s="33"/>
      <c r="K22" s="34"/>
      <c r="L22" s="34"/>
      <c r="M22" s="35"/>
      <c r="N22" s="33"/>
      <c r="O22" s="33"/>
      <c r="P22" s="34"/>
      <c r="Q22" s="34"/>
      <c r="R22" s="35"/>
      <c r="S22" s="33"/>
      <c r="T22" s="33"/>
      <c r="U22" s="34"/>
      <c r="V22" s="34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L22" s="75"/>
      <c r="AM22" s="71"/>
      <c r="AN22" s="34"/>
      <c r="AO22" s="34"/>
      <c r="AP22" s="34"/>
      <c r="AQ22" s="5"/>
      <c r="AR22" s="5"/>
      <c r="AS22" s="5"/>
      <c r="AT22" s="5"/>
      <c r="AU22" s="5"/>
      <c r="AV22" s="5"/>
      <c r="AW22" s="5"/>
      <c r="AX22" s="5"/>
      <c r="AY22" s="76"/>
    </row>
    <row r="23" spans="1:51" s="35" customFormat="1" ht="9" customHeight="1">
      <c r="A23" s="6"/>
      <c r="B23" s="177" t="s">
        <v>51</v>
      </c>
      <c r="C23" s="178"/>
      <c r="D23" s="178"/>
      <c r="E23" s="178"/>
      <c r="F23" s="178"/>
      <c r="G23" s="179"/>
      <c r="H23" s="6"/>
      <c r="I23" s="163" t="s">
        <v>25</v>
      </c>
      <c r="J23" s="163"/>
      <c r="K23" s="194">
        <f>SUM(K16:L21)</f>
        <v>0</v>
      </c>
      <c r="L23" s="195"/>
      <c r="M23" s="6"/>
      <c r="N23" s="163" t="s">
        <v>26</v>
      </c>
      <c r="O23" s="163"/>
      <c r="P23" s="194">
        <f>SUM(P16:Q21)</f>
        <v>0</v>
      </c>
      <c r="Q23" s="195"/>
      <c r="R23" s="5"/>
      <c r="S23" s="163" t="s">
        <v>27</v>
      </c>
      <c r="T23" s="163"/>
      <c r="U23" s="219">
        <f>SUM(U16:V21)</f>
        <v>0</v>
      </c>
      <c r="V23" s="220"/>
      <c r="AL23" s="78"/>
      <c r="AM23" s="71"/>
      <c r="AN23" s="34"/>
      <c r="AO23" s="34"/>
      <c r="AP23" s="34"/>
      <c r="AQ23" s="5"/>
      <c r="AR23" s="5"/>
      <c r="AS23" s="5"/>
      <c r="AT23" s="5"/>
      <c r="AU23" s="5"/>
      <c r="AV23" s="5"/>
      <c r="AW23" s="5"/>
      <c r="AX23" s="5"/>
      <c r="AY23" s="76"/>
    </row>
    <row r="24" spans="2:51" s="35" customFormat="1" ht="0.75" customHeight="1">
      <c r="B24" s="180"/>
      <c r="C24" s="181"/>
      <c r="D24" s="181"/>
      <c r="E24" s="181"/>
      <c r="F24" s="181"/>
      <c r="G24" s="182"/>
      <c r="AL24" s="78"/>
      <c r="AM24" s="71"/>
      <c r="AN24" s="34"/>
      <c r="AO24" s="34"/>
      <c r="AP24" s="34"/>
      <c r="AQ24" s="5"/>
      <c r="AR24" s="5"/>
      <c r="AS24" s="5"/>
      <c r="AT24" s="5"/>
      <c r="AU24" s="5"/>
      <c r="AV24" s="5"/>
      <c r="AW24" s="5"/>
      <c r="AX24" s="5"/>
      <c r="AY24" s="76"/>
    </row>
    <row r="25" spans="2:51" s="35" customFormat="1" ht="9" customHeight="1">
      <c r="B25" s="183"/>
      <c r="C25" s="184"/>
      <c r="D25" s="184"/>
      <c r="E25" s="184"/>
      <c r="F25" s="184"/>
      <c r="G25" s="185"/>
      <c r="I25" s="163" t="s">
        <v>23</v>
      </c>
      <c r="J25" s="163"/>
      <c r="K25" s="194">
        <f>AN9</f>
        <v>650000</v>
      </c>
      <c r="L25" s="195"/>
      <c r="M25" s="37"/>
      <c r="N25" s="163" t="s">
        <v>23</v>
      </c>
      <c r="O25" s="163"/>
      <c r="P25" s="194">
        <f>AO9</f>
        <v>220000</v>
      </c>
      <c r="Q25" s="195"/>
      <c r="R25" s="37"/>
      <c r="S25" s="163" t="s">
        <v>23</v>
      </c>
      <c r="T25" s="163"/>
      <c r="U25" s="194">
        <f>AP9</f>
        <v>170000</v>
      </c>
      <c r="V25" s="195"/>
      <c r="AL25" s="78"/>
      <c r="AM25" s="71"/>
      <c r="AN25" s="34"/>
      <c r="AO25" s="34"/>
      <c r="AP25" s="34"/>
      <c r="AQ25" s="5"/>
      <c r="AR25" s="5"/>
      <c r="AS25" s="5"/>
      <c r="AT25" s="5"/>
      <c r="AU25" s="5"/>
      <c r="AV25" s="5"/>
      <c r="AW25" s="5"/>
      <c r="AX25" s="5"/>
      <c r="AY25" s="76"/>
    </row>
    <row r="26" spans="2:51" s="35" customFormat="1" ht="0.75" customHeight="1">
      <c r="B26" s="38"/>
      <c r="C26" s="38"/>
      <c r="D26" s="38"/>
      <c r="E26" s="38"/>
      <c r="F26" s="38"/>
      <c r="G26" s="38"/>
      <c r="I26" s="39"/>
      <c r="J26" s="39"/>
      <c r="K26" s="40"/>
      <c r="L26" s="41"/>
      <c r="M26" s="37"/>
      <c r="N26" s="39"/>
      <c r="O26" s="42"/>
      <c r="P26" s="43"/>
      <c r="Q26" s="44"/>
      <c r="R26" s="37"/>
      <c r="S26" s="42"/>
      <c r="T26" s="42"/>
      <c r="U26" s="43"/>
      <c r="V26" s="44"/>
      <c r="W26" s="48"/>
      <c r="X26" s="47"/>
      <c r="Y26" s="47"/>
      <c r="AL26" s="78"/>
      <c r="AM26" s="71"/>
      <c r="AN26" s="34"/>
      <c r="AO26" s="34"/>
      <c r="AP26" s="34"/>
      <c r="AQ26" s="5"/>
      <c r="AR26" s="5"/>
      <c r="AS26" s="5"/>
      <c r="AT26" s="5"/>
      <c r="AU26" s="5"/>
      <c r="AV26" s="5"/>
      <c r="AW26" s="5"/>
      <c r="AX26" s="5"/>
      <c r="AY26" s="76"/>
    </row>
    <row r="27" spans="2:51" s="35" customFormat="1" ht="9" customHeight="1">
      <c r="B27" s="174" t="s">
        <v>36</v>
      </c>
      <c r="C27" s="175"/>
      <c r="D27" s="175"/>
      <c r="E27" s="175"/>
      <c r="F27" s="175"/>
      <c r="G27" s="176"/>
      <c r="I27" s="110" t="s">
        <v>29</v>
      </c>
      <c r="J27" s="192">
        <f>IF(AM44=0,"",ROUNDDOWN((AN46),-2))</f>
      </c>
      <c r="K27" s="192"/>
      <c r="L27" s="192"/>
      <c r="M27" s="45"/>
      <c r="N27" s="110" t="s">
        <v>30</v>
      </c>
      <c r="O27" s="209">
        <f>IF(AM44=0,"",ROUNDDOWN((AO46),-2))</f>
      </c>
      <c r="P27" s="210"/>
      <c r="Q27" s="211"/>
      <c r="R27" s="46"/>
      <c r="S27" s="110" t="s">
        <v>31</v>
      </c>
      <c r="T27" s="212">
        <f>IF(AM44=0,"",ROUNDDOWN((AP46),-2))</f>
      </c>
      <c r="U27" s="213"/>
      <c r="V27" s="214"/>
      <c r="W27" s="48"/>
      <c r="X27" s="6"/>
      <c r="Y27" s="6"/>
      <c r="Z27" s="47"/>
      <c r="AA27" s="47"/>
      <c r="AB27" s="47"/>
      <c r="AC27" s="47"/>
      <c r="AD27" s="47"/>
      <c r="AE27" s="47"/>
      <c r="AF27" s="47"/>
      <c r="AG27" s="47"/>
      <c r="AH27" s="47"/>
      <c r="AL27" s="78"/>
      <c r="AM27" s="71"/>
      <c r="AN27" s="34"/>
      <c r="AO27" s="34"/>
      <c r="AP27" s="34"/>
      <c r="AQ27" s="5"/>
      <c r="AR27" s="5"/>
      <c r="AS27" s="5"/>
      <c r="AT27" s="5"/>
      <c r="AU27" s="5"/>
      <c r="AV27" s="5"/>
      <c r="AW27" s="5"/>
      <c r="AX27" s="5"/>
      <c r="AY27" s="76"/>
    </row>
    <row r="28" spans="1:51" s="47" customFormat="1" ht="0.75" customHeight="1">
      <c r="A28" s="35"/>
      <c r="B28" s="115"/>
      <c r="C28" s="115"/>
      <c r="D28" s="115"/>
      <c r="E28" s="115"/>
      <c r="F28" s="115"/>
      <c r="G28" s="115"/>
      <c r="H28" s="35"/>
      <c r="I28" s="116"/>
      <c r="J28" s="117"/>
      <c r="K28" s="117"/>
      <c r="L28" s="117"/>
      <c r="M28" s="46"/>
      <c r="N28" s="116"/>
      <c r="O28" s="117"/>
      <c r="P28" s="117"/>
      <c r="Q28" s="117"/>
      <c r="R28" s="46"/>
      <c r="S28" s="116"/>
      <c r="T28" s="117"/>
      <c r="U28" s="117"/>
      <c r="V28" s="117"/>
      <c r="W28" s="48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L28" s="78"/>
      <c r="AM28" s="71"/>
      <c r="AN28" s="34"/>
      <c r="AO28" s="34"/>
      <c r="AP28" s="34"/>
      <c r="AQ28" s="5"/>
      <c r="AR28" s="5"/>
      <c r="AS28" s="5"/>
      <c r="AT28" s="5"/>
      <c r="AU28" s="5"/>
      <c r="AV28" s="5"/>
      <c r="AW28" s="5"/>
      <c r="AX28" s="5"/>
      <c r="AY28" s="76"/>
    </row>
    <row r="29" spans="1:51" ht="2.25" customHeight="1" hidden="1">
      <c r="A29" s="68"/>
      <c r="B29" s="115"/>
      <c r="C29" s="115"/>
      <c r="D29" s="115"/>
      <c r="E29" s="115"/>
      <c r="F29" s="115"/>
      <c r="G29" s="115"/>
      <c r="H29" s="35"/>
      <c r="I29" s="116"/>
      <c r="J29" s="117"/>
      <c r="K29" s="117"/>
      <c r="L29" s="117"/>
      <c r="M29" s="46"/>
      <c r="N29" s="116"/>
      <c r="O29" s="117"/>
      <c r="P29" s="117"/>
      <c r="Q29" s="117"/>
      <c r="R29" s="46"/>
      <c r="S29" s="116"/>
      <c r="T29" s="117"/>
      <c r="U29" s="117"/>
      <c r="V29" s="117"/>
      <c r="W29" s="48"/>
      <c r="AL29" s="78"/>
      <c r="AM29" s="71"/>
      <c r="AN29" s="34"/>
      <c r="AO29" s="34"/>
      <c r="AP29" s="34"/>
      <c r="AQ29" s="5"/>
      <c r="AR29" s="5"/>
      <c r="AS29" s="5"/>
      <c r="AT29" s="5"/>
      <c r="AU29" s="5"/>
      <c r="AV29" s="5"/>
      <c r="AW29" s="5"/>
      <c r="AX29" s="5"/>
      <c r="AY29" s="76"/>
    </row>
    <row r="30" spans="1:51" ht="2.25" customHeight="1">
      <c r="A30" s="68"/>
      <c r="B30" s="115"/>
      <c r="C30" s="115"/>
      <c r="D30" s="115"/>
      <c r="E30" s="115"/>
      <c r="F30" s="115"/>
      <c r="G30" s="115"/>
      <c r="H30" s="35"/>
      <c r="I30" s="116"/>
      <c r="J30" s="117"/>
      <c r="K30" s="117"/>
      <c r="L30" s="117"/>
      <c r="M30" s="46"/>
      <c r="N30" s="116"/>
      <c r="O30" s="117"/>
      <c r="P30" s="117"/>
      <c r="Q30" s="117"/>
      <c r="R30" s="46"/>
      <c r="S30" s="116"/>
      <c r="T30" s="117"/>
      <c r="U30" s="117"/>
      <c r="V30" s="117"/>
      <c r="AL30" s="79"/>
      <c r="AM30" s="71"/>
      <c r="AN30" s="34"/>
      <c r="AO30" s="34"/>
      <c r="AP30" s="34"/>
      <c r="AQ30" s="5"/>
      <c r="AR30" s="5"/>
      <c r="AS30" s="5"/>
      <c r="AT30" s="5"/>
      <c r="AU30" s="5"/>
      <c r="AV30" s="5"/>
      <c r="AW30" s="5"/>
      <c r="AX30" s="5"/>
      <c r="AY30" s="76"/>
    </row>
    <row r="31" spans="2:51" ht="11.25" customHeight="1">
      <c r="B31" s="240" t="s">
        <v>70</v>
      </c>
      <c r="C31" s="241"/>
      <c r="D31" s="241"/>
      <c r="E31" s="241"/>
      <c r="F31" s="241"/>
      <c r="G31" s="242"/>
      <c r="H31" s="35"/>
      <c r="I31" s="128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0"/>
      <c r="AL31" s="75"/>
      <c r="AM31" s="71"/>
      <c r="AN31" s="34"/>
      <c r="AO31" s="34"/>
      <c r="AP31" s="34"/>
      <c r="AQ31" s="5"/>
      <c r="AR31" s="5"/>
      <c r="AS31" s="5"/>
      <c r="AT31" s="5"/>
      <c r="AU31" s="5"/>
      <c r="AV31" s="5"/>
      <c r="AW31" s="5"/>
      <c r="AX31" s="5"/>
      <c r="AY31" s="80"/>
    </row>
    <row r="32" spans="2:51" ht="11.25" customHeight="1">
      <c r="B32" s="243">
        <f>IF(OR(C5="",F5="",J5="",L5="",P5=""),"",J32)</f>
      </c>
      <c r="C32" s="228"/>
      <c r="D32" s="228"/>
      <c r="E32" s="228"/>
      <c r="F32" s="228"/>
      <c r="G32" s="171">
        <f>IF(B32="","","円")</f>
      </c>
      <c r="H32" s="120"/>
      <c r="I32" s="131">
        <f>IF(OR(AM44=0,B32=""),"","年額は、")</f>
      </c>
      <c r="J32" s="193">
        <f>IF(OR(AM44=0,J5=""),"",J27+O27+T27)</f>
      </c>
      <c r="K32" s="193"/>
      <c r="L32" s="121">
        <f>IF(OR(AM44=0,B32=""),"","円です。ひと月あたりにすると、約")</f>
      </c>
      <c r="M32" s="121"/>
      <c r="N32" s="121"/>
      <c r="O32" s="121"/>
      <c r="P32" s="122"/>
      <c r="Q32" s="122"/>
      <c r="R32" s="224">
        <f>IF(OR(AM44=0,B32=""),"",ROUNDDOWN((J27+O27+T27)/12,0))</f>
      </c>
      <c r="S32" s="224"/>
      <c r="T32" s="121">
        <f>IF(OR(AM44=0,B32=""),"","円です。")</f>
      </c>
      <c r="U32" s="123"/>
      <c r="V32" s="132"/>
      <c r="W32" s="5"/>
      <c r="AL32" s="75"/>
      <c r="AM32" s="71"/>
      <c r="AN32" s="34"/>
      <c r="AO32" s="34"/>
      <c r="AP32" s="34"/>
      <c r="AQ32" s="5"/>
      <c r="AR32" s="5"/>
      <c r="AS32" s="5"/>
      <c r="AT32" s="5"/>
      <c r="AU32" s="5"/>
      <c r="AV32" s="5"/>
      <c r="AW32" s="5"/>
      <c r="AX32" s="5"/>
      <c r="AY32" s="76"/>
    </row>
    <row r="33" spans="2:51" ht="11.25" customHeight="1">
      <c r="B33" s="243"/>
      <c r="C33" s="228"/>
      <c r="D33" s="228"/>
      <c r="E33" s="228"/>
      <c r="F33" s="228"/>
      <c r="G33" s="171"/>
      <c r="H33" s="3"/>
      <c r="I33" s="131">
        <f>IF(OR(L5="",AM44=0,B32=""),""," "&amp;L5&amp;"月に加入すると年度末（３月末）までの加入月数は "&amp;VLOOKUP(L5,AN79:AO91,2,FALSE)&amp;"ヵ月ですから、")</f>
      </c>
      <c r="J33" s="124"/>
      <c r="K33" s="121"/>
      <c r="L33" s="124"/>
      <c r="M33" s="121"/>
      <c r="N33" s="121"/>
      <c r="O33" s="121"/>
      <c r="P33" s="125"/>
      <c r="Q33" s="125"/>
      <c r="R33" s="123"/>
      <c r="S33" s="123"/>
      <c r="T33" s="123"/>
      <c r="U33" s="35"/>
      <c r="V33" s="133"/>
      <c r="W33" s="5"/>
      <c r="AL33" s="75"/>
      <c r="AM33" s="71"/>
      <c r="AN33" s="34"/>
      <c r="AO33" s="34"/>
      <c r="AP33" s="34"/>
      <c r="AQ33" s="5"/>
      <c r="AR33" s="5"/>
      <c r="AS33" s="5"/>
      <c r="AT33" s="5"/>
      <c r="AU33" s="5"/>
      <c r="AV33" s="5"/>
      <c r="AW33" s="5"/>
      <c r="AX33" s="5"/>
      <c r="AY33" s="76"/>
    </row>
    <row r="34" spans="2:51" ht="11.25" customHeight="1">
      <c r="B34" s="237">
        <f>IF(B35="","","年税額　（加入月数"&amp;VLOOKUP(L5,AN79:AO91,2,FALSE)&amp;"ヵ月分)")</f>
      </c>
      <c r="C34" s="238"/>
      <c r="D34" s="238"/>
      <c r="E34" s="238"/>
      <c r="F34" s="238"/>
      <c r="G34" s="239"/>
      <c r="H34" s="3"/>
      <c r="I34" s="142">
        <f>IF(OR(L5="",AM44=0,B32=""),"","ひと月あたり　　"&amp;R32&amp;"円　×　"&amp;VLOOKUP(L5,AN79:AO91,2,FALSE)&amp;"ヵ月で、年税額")</f>
      </c>
      <c r="J34" s="122"/>
      <c r="K34" s="126"/>
      <c r="L34" s="126"/>
      <c r="M34" s="127"/>
      <c r="N34" s="127"/>
      <c r="O34" s="126"/>
      <c r="P34" s="126"/>
      <c r="Q34" s="223">
        <f>IF(OR(L5="",AM44=0,B32=""),"",VLOOKUP(L5,AN79:AP91,3,FALSE))</f>
      </c>
      <c r="R34" s="223"/>
      <c r="S34" s="223"/>
      <c r="T34" s="121">
        <f>IF(OR(L5="",AM44=0,B32=""),"","円になります。")</f>
      </c>
      <c r="U34" s="35"/>
      <c r="V34" s="133"/>
      <c r="W34" s="5"/>
      <c r="AL34" s="75"/>
      <c r="AM34" s="71"/>
      <c r="AN34" s="34"/>
      <c r="AO34" s="34"/>
      <c r="AP34" s="34"/>
      <c r="AQ34" s="5"/>
      <c r="AR34" s="5"/>
      <c r="AS34" s="5"/>
      <c r="AT34" s="5"/>
      <c r="AU34" s="5"/>
      <c r="AV34" s="5"/>
      <c r="AW34" s="5"/>
      <c r="AX34" s="5"/>
      <c r="AY34" s="76"/>
    </row>
    <row r="35" spans="2:51" ht="11.25" customHeight="1">
      <c r="B35" s="227">
        <f>IF(L5="","",Q34)</f>
      </c>
      <c r="C35" s="228"/>
      <c r="D35" s="228"/>
      <c r="E35" s="228"/>
      <c r="F35" s="228"/>
      <c r="G35" s="231">
        <f>IF(B35="","","円")</f>
      </c>
      <c r="H35" s="49"/>
      <c r="I35" s="221">
        <f>IF(OR(P5="",AM44=0,B32=""),"",(" "&amp;P5&amp;"月に手続きをすると、納期は "&amp;VLOOKUP(P5,AN80:AR91,5,FALSE)&amp;"です。"))</f>
      </c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123"/>
      <c r="U35" s="35"/>
      <c r="V35" s="133"/>
      <c r="W35" s="5"/>
      <c r="AL35" s="75"/>
      <c r="AM35" s="71"/>
      <c r="AN35" s="34"/>
      <c r="AO35" s="34"/>
      <c r="AP35" s="34"/>
      <c r="AQ35" s="5"/>
      <c r="AR35" s="5"/>
      <c r="AS35" s="5"/>
      <c r="AT35" s="5"/>
      <c r="AU35" s="5"/>
      <c r="AV35" s="5"/>
      <c r="AW35" s="5"/>
      <c r="AX35" s="5"/>
      <c r="AY35" s="76"/>
    </row>
    <row r="36" spans="1:51" ht="11.25" customHeight="1">
      <c r="A36" s="5"/>
      <c r="B36" s="229"/>
      <c r="C36" s="230"/>
      <c r="D36" s="230"/>
      <c r="E36" s="230"/>
      <c r="F36" s="230"/>
      <c r="G36" s="232"/>
      <c r="H36" s="49"/>
      <c r="I36" s="134">
        <f>IF(B32="","",IF(P5&gt;=4,"期別納付額は"&amp;VLOOKUP(P5,$AN$80:$AU$91,8,FALSE),""))</f>
      </c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6"/>
      <c r="W36" s="5"/>
      <c r="AL36" s="75"/>
      <c r="AM36" s="71"/>
      <c r="AN36" s="34"/>
      <c r="AO36" s="34"/>
      <c r="AP36" s="34"/>
      <c r="AQ36" s="5"/>
      <c r="AR36" s="5"/>
      <c r="AS36" s="5"/>
      <c r="AT36" s="5"/>
      <c r="AU36" s="5"/>
      <c r="AV36" s="5"/>
      <c r="AW36" s="5"/>
      <c r="AX36" s="5"/>
      <c r="AY36" s="76"/>
    </row>
    <row r="37" spans="1:51" ht="12.75" customHeight="1">
      <c r="A37" s="35"/>
      <c r="B37" s="137"/>
      <c r="C37" s="137"/>
      <c r="D37" s="137"/>
      <c r="E37" s="137"/>
      <c r="F37" s="137"/>
      <c r="G37" s="35"/>
      <c r="H37" s="49"/>
      <c r="I37" s="52"/>
      <c r="J37" s="122"/>
      <c r="K37" s="126"/>
      <c r="L37" s="126"/>
      <c r="M37" s="127"/>
      <c r="N37" s="127"/>
      <c r="O37" s="126"/>
      <c r="P37" s="138"/>
      <c r="Q37" s="138"/>
      <c r="R37" s="35"/>
      <c r="S37" s="35"/>
      <c r="T37" s="35"/>
      <c r="U37" s="35"/>
      <c r="V37" s="35"/>
      <c r="W37" s="5"/>
      <c r="AL37" s="75"/>
      <c r="AM37" s="71"/>
      <c r="AN37" s="34"/>
      <c r="AO37" s="34"/>
      <c r="AP37" s="34"/>
      <c r="AQ37" s="5"/>
      <c r="AR37" s="5"/>
      <c r="AS37" s="5"/>
      <c r="AT37" s="5"/>
      <c r="AU37" s="5"/>
      <c r="AV37" s="5"/>
      <c r="AW37" s="5"/>
      <c r="AX37" s="5"/>
      <c r="AY37" s="76"/>
    </row>
    <row r="38" spans="1:51" ht="12.75" customHeight="1">
      <c r="A38" s="35"/>
      <c r="B38" s="137"/>
      <c r="C38" s="137"/>
      <c r="D38" s="137"/>
      <c r="E38" s="137"/>
      <c r="F38" s="137"/>
      <c r="G38" s="139"/>
      <c r="H38" s="4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40"/>
      <c r="U38" s="35"/>
      <c r="V38" s="35"/>
      <c r="AL38" s="75"/>
      <c r="AM38" s="71"/>
      <c r="AN38" s="34"/>
      <c r="AO38" s="34"/>
      <c r="AP38" s="34"/>
      <c r="AQ38" s="5"/>
      <c r="AR38" s="5"/>
      <c r="AS38" s="5"/>
      <c r="AT38" s="5"/>
      <c r="AU38" s="5"/>
      <c r="AV38" s="5"/>
      <c r="AW38" s="5"/>
      <c r="AX38" s="5"/>
      <c r="AY38" s="76"/>
    </row>
    <row r="39" spans="1:51" ht="12" customHeight="1">
      <c r="A39" s="5"/>
      <c r="B39" s="113"/>
      <c r="C39" s="113"/>
      <c r="D39" s="113"/>
      <c r="E39" s="113"/>
      <c r="F39" s="113"/>
      <c r="G39" s="114"/>
      <c r="H39" s="50"/>
      <c r="I39" s="35"/>
      <c r="J39" s="112"/>
      <c r="K39" s="112"/>
      <c r="L39" s="112"/>
      <c r="M39" s="112"/>
      <c r="N39" s="112"/>
      <c r="O39" s="112"/>
      <c r="P39" s="112"/>
      <c r="Q39" s="112"/>
      <c r="R39" s="67"/>
      <c r="S39" s="67"/>
      <c r="T39" s="67"/>
      <c r="U39" s="66"/>
      <c r="V39" s="66"/>
      <c r="AL39" s="75"/>
      <c r="AM39" s="81" t="s">
        <v>21</v>
      </c>
      <c r="AN39" s="81" t="s">
        <v>20</v>
      </c>
      <c r="AO39" s="81" t="s">
        <v>22</v>
      </c>
      <c r="AP39" s="81" t="s">
        <v>44</v>
      </c>
      <c r="AQ39" s="81"/>
      <c r="AR39" s="5" t="s">
        <v>62</v>
      </c>
      <c r="AS39" s="5"/>
      <c r="AT39" s="5"/>
      <c r="AU39" s="5"/>
      <c r="AV39" s="5"/>
      <c r="AW39" s="5"/>
      <c r="AX39" s="81"/>
      <c r="AY39" s="82"/>
    </row>
    <row r="40" spans="2:51" ht="9.75" customHeight="1" thickBot="1">
      <c r="B40" s="113"/>
      <c r="C40" s="113"/>
      <c r="D40" s="113"/>
      <c r="E40" s="113"/>
      <c r="F40" s="113"/>
      <c r="G40" s="114"/>
      <c r="H40" s="49"/>
      <c r="I40" s="36"/>
      <c r="J40" s="118"/>
      <c r="K40" s="118"/>
      <c r="L40" s="118"/>
      <c r="M40" s="118"/>
      <c r="N40" s="118"/>
      <c r="O40" s="118"/>
      <c r="P40" s="118"/>
      <c r="Q40" s="118"/>
      <c r="R40" s="5"/>
      <c r="S40" s="14"/>
      <c r="U40" s="14"/>
      <c r="V40" s="5"/>
      <c r="AL40" s="75"/>
      <c r="AM40" s="5">
        <f>IF(F12="",0,1)</f>
        <v>0</v>
      </c>
      <c r="AN40" s="5">
        <f>IF(U12="",0,1)</f>
        <v>0</v>
      </c>
      <c r="AO40" s="5"/>
      <c r="AP40" s="5"/>
      <c r="AQ40" s="5"/>
      <c r="AR40" s="5" t="s">
        <v>59</v>
      </c>
      <c r="AS40" s="5" t="s">
        <v>9</v>
      </c>
      <c r="AT40" s="5" t="s">
        <v>10</v>
      </c>
      <c r="AU40" s="90" t="s">
        <v>11</v>
      </c>
      <c r="AV40" s="5"/>
      <c r="AW40" s="5"/>
      <c r="AX40" s="5"/>
      <c r="AY40" s="82"/>
    </row>
    <row r="41" spans="2:51" ht="9" customHeight="1">
      <c r="B41" s="50"/>
      <c r="C41" s="49"/>
      <c r="D41" s="29"/>
      <c r="E41" s="49"/>
      <c r="F41" s="53"/>
      <c r="G41" s="53"/>
      <c r="H41" s="52"/>
      <c r="I41" s="35"/>
      <c r="J41" s="119"/>
      <c r="K41" s="35"/>
      <c r="L41" s="226"/>
      <c r="M41" s="226"/>
      <c r="N41" s="226"/>
      <c r="O41" s="226"/>
      <c r="P41" s="215"/>
      <c r="Q41" s="215"/>
      <c r="R41" s="35"/>
      <c r="S41" s="35"/>
      <c r="T41" s="14"/>
      <c r="U41" s="35"/>
      <c r="V41" s="5"/>
      <c r="AL41" s="75"/>
      <c r="AM41" s="5">
        <f>IF(F13="",0,1)</f>
        <v>0</v>
      </c>
      <c r="AN41" s="5">
        <f>IF(U13="",0,1)</f>
        <v>0</v>
      </c>
      <c r="AO41" s="5"/>
      <c r="AP41" s="5" t="s">
        <v>45</v>
      </c>
      <c r="AQ41" s="5"/>
      <c r="AR41" s="5" t="s">
        <v>58</v>
      </c>
      <c r="AS41" s="94">
        <f>AK$7*0.3</f>
        <v>9570</v>
      </c>
      <c r="AT41" s="101">
        <f>AL$7*0.3</f>
        <v>3090</v>
      </c>
      <c r="AU41" s="95">
        <f>AM$7*0.3</f>
        <v>3360</v>
      </c>
      <c r="AV41" s="5"/>
      <c r="AW41" s="5">
        <f>AS41/3*10</f>
        <v>31900</v>
      </c>
      <c r="AX41" s="5">
        <f>AT41/3*10</f>
        <v>10300</v>
      </c>
      <c r="AY41" s="5">
        <f>AU41/3*10</f>
        <v>11200</v>
      </c>
    </row>
    <row r="42" spans="2:51" ht="9">
      <c r="B42" s="69"/>
      <c r="C42" s="54"/>
      <c r="D42" s="54"/>
      <c r="E42" s="51"/>
      <c r="F42" s="55"/>
      <c r="G42" s="55"/>
      <c r="H42" s="53"/>
      <c r="I42" s="35"/>
      <c r="J42" s="51"/>
      <c r="K42" s="51"/>
      <c r="L42" s="51"/>
      <c r="M42" s="51"/>
      <c r="N42" s="51"/>
      <c r="O42" s="51"/>
      <c r="P42" s="51"/>
      <c r="Q42" s="51"/>
      <c r="R42" s="35"/>
      <c r="S42" s="35"/>
      <c r="T42" s="35"/>
      <c r="U42" s="35"/>
      <c r="V42" s="5"/>
      <c r="AL42" s="75"/>
      <c r="AM42" s="5">
        <f>IF(F14="",0,1)</f>
        <v>0</v>
      </c>
      <c r="AN42" s="5">
        <f>IF(U14="",0,1)</f>
        <v>0</v>
      </c>
      <c r="AO42" s="5"/>
      <c r="AP42" s="5" t="s">
        <v>46</v>
      </c>
      <c r="AQ42" s="5"/>
      <c r="AR42" s="5" t="s">
        <v>60</v>
      </c>
      <c r="AS42" s="96">
        <f>AK$7*0.5</f>
        <v>15950</v>
      </c>
      <c r="AT42" s="83">
        <f>AL$7*0.5</f>
        <v>5150</v>
      </c>
      <c r="AU42" s="97">
        <f>AM$7*0.5</f>
        <v>5600</v>
      </c>
      <c r="AV42" s="5"/>
      <c r="AW42" s="5">
        <f>AS42*2</f>
        <v>31900</v>
      </c>
      <c r="AX42" s="5">
        <f>AT42*2</f>
        <v>10300</v>
      </c>
      <c r="AY42" s="5">
        <f>AU42*2</f>
        <v>11200</v>
      </c>
    </row>
    <row r="43" spans="2:51" ht="9.75" thickBot="1">
      <c r="B43" s="69"/>
      <c r="C43" s="49"/>
      <c r="D43" s="57"/>
      <c r="E43" s="35"/>
      <c r="F43" s="59"/>
      <c r="G43" s="58"/>
      <c r="H43" s="56"/>
      <c r="I43" s="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5"/>
      <c r="AL43" s="75"/>
      <c r="AM43" s="5">
        <f>IF(F15="",0,1)</f>
        <v>0</v>
      </c>
      <c r="AN43" s="5">
        <f>IF(U15="",0,1)</f>
        <v>0</v>
      </c>
      <c r="AO43" s="5"/>
      <c r="AP43" s="5" t="s">
        <v>47</v>
      </c>
      <c r="AQ43" s="5"/>
      <c r="AR43" s="5" t="s">
        <v>61</v>
      </c>
      <c r="AS43" s="98">
        <f>AK7*0.8</f>
        <v>25520</v>
      </c>
      <c r="AT43" s="102">
        <f>AL7*0.8</f>
        <v>8240</v>
      </c>
      <c r="AU43" s="99">
        <f>AM7*0.8</f>
        <v>8960</v>
      </c>
      <c r="AV43" s="5"/>
      <c r="AW43" s="5">
        <f>AS43/8*10</f>
        <v>31900</v>
      </c>
      <c r="AX43" s="5">
        <f>AT43/8*10</f>
        <v>10300</v>
      </c>
      <c r="AY43" s="5">
        <f>AU43/8*10</f>
        <v>11200</v>
      </c>
    </row>
    <row r="44" spans="2:51" ht="9.75" thickBot="1">
      <c r="B44" s="69"/>
      <c r="C44" s="36"/>
      <c r="D44" s="55"/>
      <c r="E44" s="55"/>
      <c r="F44" s="35"/>
      <c r="G44" s="35"/>
      <c r="H44" s="36"/>
      <c r="I44" s="5"/>
      <c r="J44" s="55"/>
      <c r="K44" s="225"/>
      <c r="L44" s="225"/>
      <c r="M44" s="60"/>
      <c r="N44" s="61"/>
      <c r="O44" s="60"/>
      <c r="P44" s="60"/>
      <c r="Q44" s="60"/>
      <c r="R44" s="35"/>
      <c r="S44" s="35"/>
      <c r="T44" s="35"/>
      <c r="U44" s="35"/>
      <c r="AL44" s="75"/>
      <c r="AM44" s="5">
        <f>SUM(AM40:AM43)</f>
        <v>0</v>
      </c>
      <c r="AN44" s="5">
        <f>SUM(AN40:AN43)</f>
        <v>0</v>
      </c>
      <c r="AO44" s="5"/>
      <c r="AP44" s="5" t="s">
        <v>48</v>
      </c>
      <c r="AQ44" s="5"/>
      <c r="AR44" s="5" t="s">
        <v>8</v>
      </c>
      <c r="AS44" s="83"/>
      <c r="AT44" s="83"/>
      <c r="AU44" s="83"/>
      <c r="AV44" s="5"/>
      <c r="AW44" s="5"/>
      <c r="AX44" s="5"/>
      <c r="AY44" s="82"/>
    </row>
    <row r="45" spans="2:51" ht="9">
      <c r="B45" s="69"/>
      <c r="C45" s="63"/>
      <c r="D45" s="58"/>
      <c r="E45" s="59"/>
      <c r="F45" s="35"/>
      <c r="G45" s="35"/>
      <c r="H45" s="35"/>
      <c r="I45" s="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AL45" s="75"/>
      <c r="AM45" s="5"/>
      <c r="AN45" s="5"/>
      <c r="AO45" s="5"/>
      <c r="AP45" s="5"/>
      <c r="AQ45" s="5"/>
      <c r="AR45" s="5" t="s">
        <v>58</v>
      </c>
      <c r="AS45" s="94">
        <f>AK$8*0.3</f>
        <v>6930</v>
      </c>
      <c r="AT45" s="101">
        <f>AL$8*0.3</f>
        <v>2370</v>
      </c>
      <c r="AU45" s="95">
        <f>AM$8*0.3</f>
        <v>1830</v>
      </c>
      <c r="AV45" s="5"/>
      <c r="AW45" s="5">
        <f>AS45/3*10</f>
        <v>23100</v>
      </c>
      <c r="AX45" s="5">
        <f>AT45/3*10</f>
        <v>7900</v>
      </c>
      <c r="AY45" s="5">
        <f>AU45/3*10</f>
        <v>6100</v>
      </c>
    </row>
    <row r="46" spans="2:51" ht="9">
      <c r="B46" s="69"/>
      <c r="C46" s="69"/>
      <c r="D46" s="5"/>
      <c r="E46" s="5"/>
      <c r="F46" s="35"/>
      <c r="G46" s="5"/>
      <c r="H46" s="35"/>
      <c r="I46" s="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AL46" s="75"/>
      <c r="AM46" s="5" t="s">
        <v>28</v>
      </c>
      <c r="AN46" s="83">
        <f>IF(K25&lt;=K23,K25,K23)</f>
        <v>0</v>
      </c>
      <c r="AO46" s="83">
        <f>IF(P25&lt;=P23,P25,P23)</f>
        <v>0</v>
      </c>
      <c r="AP46" s="83">
        <f>IF(U25&lt;=U23,U25,U23)</f>
        <v>0</v>
      </c>
      <c r="AQ46" s="5"/>
      <c r="AR46" s="5" t="s">
        <v>60</v>
      </c>
      <c r="AS46" s="96">
        <f>AK$8*0.5</f>
        <v>11550</v>
      </c>
      <c r="AT46" s="83">
        <f>AL$8*0.5</f>
        <v>3950</v>
      </c>
      <c r="AU46" s="97">
        <f>AM$8*0.5</f>
        <v>3050</v>
      </c>
      <c r="AV46" s="5"/>
      <c r="AW46" s="5">
        <f>AS46*2</f>
        <v>23100</v>
      </c>
      <c r="AX46" s="5">
        <f>AT46*2</f>
        <v>7900</v>
      </c>
      <c r="AY46" s="5">
        <f>AU46*2</f>
        <v>6100</v>
      </c>
    </row>
    <row r="47" spans="2:51" ht="9.75" thickBot="1">
      <c r="B47" s="69"/>
      <c r="C47" s="70"/>
      <c r="D47" s="5"/>
      <c r="E47" s="5"/>
      <c r="F47" s="35"/>
      <c r="G47" s="5"/>
      <c r="H47" s="5"/>
      <c r="I47" s="5"/>
      <c r="AL47" s="75"/>
      <c r="AM47" s="35" t="s">
        <v>32</v>
      </c>
      <c r="AN47" s="84">
        <f>L5</f>
        <v>4</v>
      </c>
      <c r="AO47" s="84"/>
      <c r="AP47" s="84"/>
      <c r="AQ47" s="35"/>
      <c r="AR47" s="5" t="s">
        <v>61</v>
      </c>
      <c r="AS47" s="98">
        <f>AK$8*0.8</f>
        <v>18480</v>
      </c>
      <c r="AT47" s="102">
        <f>AL$8*0.8</f>
        <v>6320</v>
      </c>
      <c r="AU47" s="99">
        <f>AM$8*0.8</f>
        <v>4880</v>
      </c>
      <c r="AV47" s="5"/>
      <c r="AW47" s="5">
        <f>AS47/8*10</f>
        <v>23100</v>
      </c>
      <c r="AX47" s="5">
        <f>AT47/8*10</f>
        <v>7900</v>
      </c>
      <c r="AY47" s="5">
        <f>AU47/8*10</f>
        <v>6100</v>
      </c>
    </row>
    <row r="48" spans="2:51" ht="9">
      <c r="B48" s="69"/>
      <c r="C48" s="70"/>
      <c r="D48" s="5"/>
      <c r="E48" s="5"/>
      <c r="F48" s="35"/>
      <c r="G48" s="5"/>
      <c r="H48" s="5"/>
      <c r="I48" s="5"/>
      <c r="AL48" s="75"/>
      <c r="AM48" s="35"/>
      <c r="AN48" s="35"/>
      <c r="AO48" s="35"/>
      <c r="AP48" s="35"/>
      <c r="AQ48" s="35"/>
      <c r="AR48" s="5"/>
      <c r="AS48" s="5"/>
      <c r="AT48" s="5"/>
      <c r="AU48" s="5"/>
      <c r="AV48" s="5"/>
      <c r="AW48" s="5"/>
      <c r="AX48" s="35"/>
      <c r="AY48" s="76"/>
    </row>
    <row r="49" spans="2:51" ht="9">
      <c r="B49" s="69"/>
      <c r="C49" s="69"/>
      <c r="D49" s="5"/>
      <c r="E49" s="5"/>
      <c r="F49" s="35"/>
      <c r="G49" s="5"/>
      <c r="H49" s="5"/>
      <c r="I49" s="5"/>
      <c r="AL49" s="7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76"/>
    </row>
    <row r="50" spans="2:51" ht="9">
      <c r="B50" s="69"/>
      <c r="C50" s="69"/>
      <c r="D50" s="5"/>
      <c r="E50" s="5"/>
      <c r="F50" s="35"/>
      <c r="G50" s="5"/>
      <c r="H50" s="5"/>
      <c r="I50" s="5"/>
      <c r="AL50" s="75"/>
      <c r="AM50" s="35"/>
      <c r="AN50" s="35"/>
      <c r="AO50" s="35"/>
      <c r="AP50" s="35"/>
      <c r="AQ50" s="35"/>
      <c r="AR50" s="81"/>
      <c r="AS50" s="81"/>
      <c r="AT50" s="81"/>
      <c r="AU50" s="81"/>
      <c r="AV50" s="81"/>
      <c r="AW50" s="81"/>
      <c r="AX50" s="35"/>
      <c r="AY50" s="76"/>
    </row>
    <row r="51" spans="2:51" ht="9">
      <c r="B51" s="69"/>
      <c r="C51" s="69"/>
      <c r="D51" s="5"/>
      <c r="E51" s="5"/>
      <c r="F51" s="35"/>
      <c r="G51" s="5"/>
      <c r="H51" s="5"/>
      <c r="I51" s="5"/>
      <c r="AL51" s="75"/>
      <c r="AM51" s="35"/>
      <c r="AN51" s="35"/>
      <c r="AO51" s="35"/>
      <c r="AP51" s="35"/>
      <c r="AQ51" s="35"/>
      <c r="AR51" s="5"/>
      <c r="AS51" s="5"/>
      <c r="AT51" s="5"/>
      <c r="AU51" s="5"/>
      <c r="AV51" s="5"/>
      <c r="AW51" s="5"/>
      <c r="AX51" s="35"/>
      <c r="AY51" s="76"/>
    </row>
    <row r="52" spans="2:51" ht="9">
      <c r="B52" s="69"/>
      <c r="C52" s="69"/>
      <c r="D52" s="5"/>
      <c r="E52" s="5"/>
      <c r="F52" s="35"/>
      <c r="G52" s="5"/>
      <c r="H52" s="5"/>
      <c r="I52" s="5"/>
      <c r="AL52" s="75"/>
      <c r="AM52" s="35"/>
      <c r="AN52" s="35"/>
      <c r="AO52" s="35"/>
      <c r="AP52" s="35"/>
      <c r="AQ52" s="35"/>
      <c r="AR52" s="5"/>
      <c r="AS52" s="5"/>
      <c r="AT52" s="5"/>
      <c r="AU52" s="5"/>
      <c r="AV52" s="5"/>
      <c r="AW52" s="5"/>
      <c r="AX52" s="35"/>
      <c r="AY52" s="76"/>
    </row>
    <row r="53" spans="2:51" ht="9">
      <c r="B53" s="69"/>
      <c r="C53" s="69"/>
      <c r="D53" s="5"/>
      <c r="E53" s="5"/>
      <c r="F53" s="35"/>
      <c r="G53" s="5"/>
      <c r="H53" s="5"/>
      <c r="AL53" s="75"/>
      <c r="AM53" s="35"/>
      <c r="AN53" s="35"/>
      <c r="AO53" s="35"/>
      <c r="AP53" s="35"/>
      <c r="AQ53" s="35"/>
      <c r="AR53" s="5"/>
      <c r="AS53" s="5"/>
      <c r="AT53" s="5"/>
      <c r="AU53" s="5"/>
      <c r="AV53" s="5"/>
      <c r="AW53" s="5"/>
      <c r="AX53" s="35"/>
      <c r="AY53" s="76"/>
    </row>
    <row r="54" spans="2:51" ht="9">
      <c r="B54" s="69"/>
      <c r="C54" s="69"/>
      <c r="D54" s="5"/>
      <c r="E54" s="5"/>
      <c r="F54" s="35"/>
      <c r="G54" s="5"/>
      <c r="H54" s="5"/>
      <c r="AL54" s="75"/>
      <c r="AM54" s="35"/>
      <c r="AN54" s="35"/>
      <c r="AO54" s="35"/>
      <c r="AP54" s="35"/>
      <c r="AQ54" s="35"/>
      <c r="AR54" s="5"/>
      <c r="AS54" s="5"/>
      <c r="AT54" s="5"/>
      <c r="AU54" s="5"/>
      <c r="AV54" s="5"/>
      <c r="AW54" s="5"/>
      <c r="AX54" s="35"/>
      <c r="AY54" s="76"/>
    </row>
    <row r="55" spans="2:51" ht="10.5">
      <c r="B55" s="69"/>
      <c r="C55" s="69"/>
      <c r="D55" s="5"/>
      <c r="E55" s="5"/>
      <c r="F55" s="35"/>
      <c r="G55" s="5"/>
      <c r="H55" s="5"/>
      <c r="AL55" s="75"/>
      <c r="AM55" s="35"/>
      <c r="AN55" s="35"/>
      <c r="AO55" s="35"/>
      <c r="AP55" s="35"/>
      <c r="AQ55" s="35"/>
      <c r="AR55" s="5"/>
      <c r="AS55" s="5"/>
      <c r="AT55" s="5"/>
      <c r="AU55" s="5"/>
      <c r="AV55" s="5"/>
      <c r="AW55" s="5"/>
      <c r="AX55" s="85"/>
      <c r="AY55" s="76"/>
    </row>
    <row r="56" spans="8:51" ht="9">
      <c r="H56" s="5"/>
      <c r="AL56" s="75"/>
      <c r="AM56" s="35"/>
      <c r="AN56" s="35"/>
      <c r="AO56" s="35"/>
      <c r="AP56" s="35"/>
      <c r="AQ56" s="35"/>
      <c r="AR56" s="5"/>
      <c r="AS56" s="5"/>
      <c r="AT56" s="5"/>
      <c r="AU56" s="5"/>
      <c r="AV56" s="5"/>
      <c r="AW56" s="5"/>
      <c r="AX56" s="5"/>
      <c r="AY56" s="76"/>
    </row>
    <row r="57" spans="38:51" ht="9">
      <c r="AL57" s="75"/>
      <c r="AM57" s="35"/>
      <c r="AN57" s="35"/>
      <c r="AO57" s="35"/>
      <c r="AP57" s="35"/>
      <c r="AQ57" s="35"/>
      <c r="AR57" s="5"/>
      <c r="AS57" s="5"/>
      <c r="AT57" s="5"/>
      <c r="AU57" s="5"/>
      <c r="AV57" s="5"/>
      <c r="AW57" s="5"/>
      <c r="AX57" s="5"/>
      <c r="AY57" s="76"/>
    </row>
    <row r="58" spans="38:51" ht="9">
      <c r="AL58" s="7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5"/>
      <c r="AY58" s="76"/>
    </row>
    <row r="59" spans="38:51" ht="9">
      <c r="AL59" s="75"/>
      <c r="AM59" s="35"/>
      <c r="AN59" s="5"/>
      <c r="AO59" s="35"/>
      <c r="AP59" s="35"/>
      <c r="AQ59" s="35"/>
      <c r="AR59" s="35"/>
      <c r="AS59" s="35"/>
      <c r="AT59" s="35"/>
      <c r="AU59" s="35"/>
      <c r="AV59" s="35"/>
      <c r="AW59" s="35"/>
      <c r="AX59" s="5"/>
      <c r="AY59" s="76"/>
    </row>
    <row r="60" spans="38:51" ht="9">
      <c r="AL60" s="75"/>
      <c r="AM60" s="35"/>
      <c r="AN60" s="35"/>
      <c r="AO60" s="35"/>
      <c r="AP60" s="35"/>
      <c r="AQ60" s="35"/>
      <c r="AR60" s="5"/>
      <c r="AS60" s="5"/>
      <c r="AT60" s="5"/>
      <c r="AU60" s="5"/>
      <c r="AV60" s="5"/>
      <c r="AW60" s="5"/>
      <c r="AX60" s="5"/>
      <c r="AY60" s="76"/>
    </row>
    <row r="61" spans="38:51" ht="9">
      <c r="AL61" s="7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5"/>
      <c r="AY61" s="76"/>
    </row>
    <row r="62" spans="38:51" ht="9">
      <c r="AL62" s="7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5"/>
      <c r="AY62" s="76"/>
    </row>
    <row r="63" spans="38:51" ht="9">
      <c r="AL63" s="7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5"/>
      <c r="AY63" s="76"/>
    </row>
    <row r="64" spans="38:51" ht="9">
      <c r="AL64" s="7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5"/>
      <c r="AY64" s="76"/>
    </row>
    <row r="65" spans="38:51" ht="9">
      <c r="AL65" s="7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5"/>
      <c r="AY65" s="76"/>
    </row>
    <row r="66" spans="38:51" ht="10.5">
      <c r="AL66" s="7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5"/>
      <c r="AY66" s="76"/>
    </row>
    <row r="67" spans="38:51" ht="9">
      <c r="AL67" s="7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76"/>
    </row>
    <row r="68" spans="38:51" ht="9">
      <c r="AL68" s="7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76"/>
    </row>
    <row r="69" spans="38:51" ht="9">
      <c r="AL69" s="75"/>
      <c r="AM69" s="5"/>
      <c r="AN69" s="35">
        <v>3.66666666666667</v>
      </c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76"/>
    </row>
    <row r="70" spans="38:51" ht="9">
      <c r="AL70" s="75"/>
      <c r="AM70" s="5"/>
      <c r="AN70" s="3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76"/>
    </row>
    <row r="71" spans="38:51" ht="9">
      <c r="AL71" s="75"/>
      <c r="AM71" s="5"/>
      <c r="AN71" s="3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76"/>
    </row>
    <row r="72" spans="38:51" ht="9">
      <c r="AL72" s="7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76"/>
    </row>
    <row r="73" spans="38:51" ht="9">
      <c r="AL73" s="7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76"/>
    </row>
    <row r="74" spans="38:51" ht="9">
      <c r="AL74" s="7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76"/>
    </row>
    <row r="75" spans="38:51" ht="9">
      <c r="AL75" s="7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76"/>
    </row>
    <row r="76" spans="38:51" ht="9">
      <c r="AL76" s="7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76"/>
    </row>
    <row r="77" spans="38:51" ht="9">
      <c r="AL77" s="7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76"/>
    </row>
    <row r="78" spans="38:51" ht="9">
      <c r="AL78" s="75"/>
      <c r="AM78" s="5" t="s">
        <v>35</v>
      </c>
      <c r="AN78" s="15" t="s">
        <v>37</v>
      </c>
      <c r="AO78" s="15" t="s">
        <v>34</v>
      </c>
      <c r="AP78" s="15" t="s">
        <v>15</v>
      </c>
      <c r="AQ78" s="15" t="s">
        <v>33</v>
      </c>
      <c r="AR78" s="15" t="s">
        <v>38</v>
      </c>
      <c r="AS78" s="15" t="s">
        <v>39</v>
      </c>
      <c r="AT78" s="15" t="s">
        <v>40</v>
      </c>
      <c r="AU78" s="15" t="s">
        <v>38</v>
      </c>
      <c r="AV78" s="5"/>
      <c r="AW78" s="5"/>
      <c r="AX78" s="5"/>
      <c r="AY78" s="76"/>
    </row>
    <row r="79" spans="38:51" ht="9">
      <c r="AL79" s="75"/>
      <c r="AM79" s="5"/>
      <c r="AN79" s="15"/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62">
        <v>0</v>
      </c>
      <c r="AU79" s="15">
        <v>0</v>
      </c>
      <c r="AV79" s="5"/>
      <c r="AW79" s="5"/>
      <c r="AX79" s="5"/>
      <c r="AY79" s="76"/>
    </row>
    <row r="80" spans="38:51" ht="9">
      <c r="AL80" s="75"/>
      <c r="AM80" s="5"/>
      <c r="AN80" s="15">
        <v>1</v>
      </c>
      <c r="AO80" s="15">
        <v>3</v>
      </c>
      <c r="AP80" s="62" t="e">
        <f>ROUND((AO80*$J$32/12),-2)</f>
        <v>#VALUE!</v>
      </c>
      <c r="AQ80" s="15">
        <v>1</v>
      </c>
      <c r="AR80" s="15" t="s">
        <v>41</v>
      </c>
      <c r="AS80" s="64" t="e">
        <f>VLOOKUP(L5,AN79:AP91,3,FALSE)</f>
        <v>#VALUE!</v>
      </c>
      <c r="AT80" s="62">
        <v>0</v>
      </c>
      <c r="AU80" s="15"/>
      <c r="AV80" s="5"/>
      <c r="AW80" s="5"/>
      <c r="AX80" s="5"/>
      <c r="AY80" s="76"/>
    </row>
    <row r="81" spans="38:51" ht="9">
      <c r="AL81" s="75"/>
      <c r="AM81" s="5"/>
      <c r="AN81" s="15">
        <v>2</v>
      </c>
      <c r="AO81" s="15">
        <v>2</v>
      </c>
      <c r="AP81" s="62" t="e">
        <f aca="true" t="shared" si="0" ref="AP81:AP91">ROUND((AO81*$J$32/12),-2)</f>
        <v>#VALUE!</v>
      </c>
      <c r="AQ81" s="15">
        <v>1</v>
      </c>
      <c r="AR81" s="15" t="s">
        <v>42</v>
      </c>
      <c r="AS81" s="64" t="e">
        <f>VLOOKUP(L5,AN79:AP91,3,FALSE)</f>
        <v>#VALUE!</v>
      </c>
      <c r="AT81" s="62">
        <v>0</v>
      </c>
      <c r="AU81" s="15"/>
      <c r="AV81" s="5"/>
      <c r="AW81" s="5"/>
      <c r="AX81" s="5"/>
      <c r="AY81" s="76"/>
    </row>
    <row r="82" spans="38:51" ht="9">
      <c r="AL82" s="75"/>
      <c r="AM82" s="5"/>
      <c r="AN82" s="15">
        <v>3</v>
      </c>
      <c r="AO82" s="15">
        <v>1</v>
      </c>
      <c r="AP82" s="62" t="e">
        <f t="shared" si="0"/>
        <v>#VALUE!</v>
      </c>
      <c r="AQ82" s="15">
        <v>1</v>
      </c>
      <c r="AR82" s="15" t="s">
        <v>43</v>
      </c>
      <c r="AS82" s="64" t="e">
        <f>VLOOKUP(L5,AN79:AP91,3,FALSE)</f>
        <v>#VALUE!</v>
      </c>
      <c r="AT82" s="62">
        <v>0</v>
      </c>
      <c r="AU82" s="15"/>
      <c r="AV82" s="5"/>
      <c r="AW82" s="5"/>
      <c r="AX82" s="5"/>
      <c r="AY82" s="76"/>
    </row>
    <row r="83" spans="38:51" ht="9">
      <c r="AL83" s="75"/>
      <c r="AM83" s="5"/>
      <c r="AN83" s="15">
        <v>4</v>
      </c>
      <c r="AO83" s="15">
        <v>12</v>
      </c>
      <c r="AP83" s="62" t="e">
        <f t="shared" si="0"/>
        <v>#VALUE!</v>
      </c>
      <c r="AQ83" s="15">
        <v>8</v>
      </c>
      <c r="AR83" s="15" t="s">
        <v>71</v>
      </c>
      <c r="AS83" s="64" t="e">
        <f>VLOOKUP(L5,AN79:AP91,3,FALSE)-(ROUNDDOWN((VLOOKUP(L5,AN79:AP91,3,FALSE)/AQ83),-3)*(AQ83-1))</f>
        <v>#VALUE!</v>
      </c>
      <c r="AT83" s="62" t="e">
        <f>(VLOOKUP(L5,AN79:AP91,3,FALSE)-AS83)/(AQ83-1)</f>
        <v>#VALUE!</v>
      </c>
      <c r="AU83" s="15" t="e">
        <f aca="true" t="shared" si="1" ref="AU83:AU90">"初回が　"&amp;AS83&amp;"円、2回目以降は　"&amp;AT83&amp;"円になります。"</f>
        <v>#VALUE!</v>
      </c>
      <c r="AV83" s="5"/>
      <c r="AW83" s="5"/>
      <c r="AX83" s="5"/>
      <c r="AY83" s="76"/>
    </row>
    <row r="84" spans="38:51" ht="9">
      <c r="AL84" s="75"/>
      <c r="AM84" s="5"/>
      <c r="AN84" s="15">
        <v>5</v>
      </c>
      <c r="AO84" s="15">
        <v>11</v>
      </c>
      <c r="AP84" s="62" t="e">
        <f t="shared" si="0"/>
        <v>#VALUE!</v>
      </c>
      <c r="AQ84" s="15">
        <v>8</v>
      </c>
      <c r="AR84" s="15" t="s">
        <v>71</v>
      </c>
      <c r="AS84" s="64" t="e">
        <f>VLOOKUP(L5,AN79:AP91,3,FALSE)-(ROUNDDOWN((VLOOKUP(L5,AN79:AP91,3,FALSE)/AQ84),-3)*(AQ84-1))</f>
        <v>#VALUE!</v>
      </c>
      <c r="AT84" s="62" t="e">
        <f>(VLOOKUP(L5,AN79:AP91,3,FALSE)-AS84)/(AQ84-1)</f>
        <v>#VALUE!</v>
      </c>
      <c r="AU84" s="15" t="e">
        <f t="shared" si="1"/>
        <v>#VALUE!</v>
      </c>
      <c r="AV84" s="5"/>
      <c r="AW84" s="5"/>
      <c r="AX84" s="5"/>
      <c r="AY84" s="76"/>
    </row>
    <row r="85" spans="38:51" ht="9">
      <c r="AL85" s="75"/>
      <c r="AM85" s="5"/>
      <c r="AN85" s="15">
        <v>6</v>
      </c>
      <c r="AO85" s="15">
        <v>10</v>
      </c>
      <c r="AP85" s="62" t="e">
        <f t="shared" si="0"/>
        <v>#VALUE!</v>
      </c>
      <c r="AQ85" s="15">
        <v>8</v>
      </c>
      <c r="AR85" s="15" t="s">
        <v>71</v>
      </c>
      <c r="AS85" s="64" t="e">
        <f>VLOOKUP(L5,AN79:AP91,3,FALSE)-(ROUNDDOWN((VLOOKUP(L5,AN79:AP91,3,FALSE)/AQ85),-3)*(AQ85-1))</f>
        <v>#VALUE!</v>
      </c>
      <c r="AT85" s="62" t="e">
        <f>(VLOOKUP(L5,AN79:AP91,3,FALSE)-AS85)/(AQ85-1)</f>
        <v>#VALUE!</v>
      </c>
      <c r="AU85" s="15" t="e">
        <f t="shared" si="1"/>
        <v>#VALUE!</v>
      </c>
      <c r="AV85" s="5"/>
      <c r="AW85" s="5"/>
      <c r="AX85" s="5"/>
      <c r="AY85" s="76"/>
    </row>
    <row r="86" spans="38:51" ht="9.75" thickBot="1">
      <c r="AL86" s="86"/>
      <c r="AM86" s="5"/>
      <c r="AN86" s="15">
        <v>7</v>
      </c>
      <c r="AO86" s="15">
        <v>9</v>
      </c>
      <c r="AP86" s="62" t="e">
        <f t="shared" si="0"/>
        <v>#VALUE!</v>
      </c>
      <c r="AQ86" s="15">
        <v>7</v>
      </c>
      <c r="AR86" s="15" t="s">
        <v>72</v>
      </c>
      <c r="AS86" s="64" t="e">
        <f>VLOOKUP(L5,AN79:AP91,3,FALSE)-(ROUNDDOWN((VLOOKUP(L5,AN79:AP91,3,FALSE)/AQ86),-3)*(AQ86-1))</f>
        <v>#VALUE!</v>
      </c>
      <c r="AT86" s="62" t="e">
        <f>(VLOOKUP(L5,AN79:AP91,3,FALSE)-AS86)/(AQ86-1)</f>
        <v>#VALUE!</v>
      </c>
      <c r="AU86" s="15" t="e">
        <f t="shared" si="1"/>
        <v>#VALUE!</v>
      </c>
      <c r="AV86" s="5"/>
      <c r="AW86" s="5"/>
      <c r="AX86" s="87"/>
      <c r="AY86" s="88"/>
    </row>
    <row r="87" spans="39:49" ht="9">
      <c r="AM87" s="5"/>
      <c r="AN87" s="15">
        <v>8</v>
      </c>
      <c r="AO87" s="15">
        <v>8</v>
      </c>
      <c r="AP87" s="62" t="e">
        <f t="shared" si="0"/>
        <v>#VALUE!</v>
      </c>
      <c r="AQ87" s="15">
        <v>6</v>
      </c>
      <c r="AR87" s="15" t="s">
        <v>73</v>
      </c>
      <c r="AS87" s="64" t="e">
        <f>VLOOKUP(L5,AN79:AP91,3,FALSE)-(ROUNDDOWN((VLOOKUP(L5,AN79:AP91,3,FALSE)/AQ87),-3)*(AQ87-1))</f>
        <v>#VALUE!</v>
      </c>
      <c r="AT87" s="62" t="e">
        <f>(VLOOKUP(L5,AN79:AP91,3,FALSE)-AS87)/(AQ87-1)</f>
        <v>#VALUE!</v>
      </c>
      <c r="AU87" s="15" t="e">
        <f t="shared" si="1"/>
        <v>#VALUE!</v>
      </c>
      <c r="AV87" s="5"/>
      <c r="AW87" s="5"/>
    </row>
    <row r="88" spans="39:49" ht="9">
      <c r="AM88" s="5"/>
      <c r="AN88" s="15">
        <v>9</v>
      </c>
      <c r="AO88" s="15">
        <v>7</v>
      </c>
      <c r="AP88" s="62" t="e">
        <f t="shared" si="0"/>
        <v>#VALUE!</v>
      </c>
      <c r="AQ88" s="15">
        <v>5</v>
      </c>
      <c r="AR88" s="15" t="s">
        <v>74</v>
      </c>
      <c r="AS88" s="64" t="e">
        <f>VLOOKUP(L5,AN79:AP91,3,FALSE)-(ROUNDDOWN((VLOOKUP(L5,AN79:AP91,3,FALSE)/AQ88),-3)*(AQ88-1))</f>
        <v>#VALUE!</v>
      </c>
      <c r="AT88" s="62" t="e">
        <f>(VLOOKUP(L5,AN79:AP91,3,FALSE)-AS88)/(AQ88-1)</f>
        <v>#VALUE!</v>
      </c>
      <c r="AU88" s="15" t="e">
        <f t="shared" si="1"/>
        <v>#VALUE!</v>
      </c>
      <c r="AV88" s="5"/>
      <c r="AW88" s="5"/>
    </row>
    <row r="89" spans="39:49" ht="9">
      <c r="AM89" s="5"/>
      <c r="AN89" s="15">
        <v>10</v>
      </c>
      <c r="AO89" s="15">
        <v>6</v>
      </c>
      <c r="AP89" s="62" t="e">
        <f t="shared" si="0"/>
        <v>#VALUE!</v>
      </c>
      <c r="AQ89" s="15">
        <v>4</v>
      </c>
      <c r="AR89" s="15" t="s">
        <v>75</v>
      </c>
      <c r="AS89" s="64" t="e">
        <f>VLOOKUP(L5,AN79:AP91,3,FALSE)-(ROUNDDOWN((VLOOKUP(L5,AN79:AP91,3,FALSE)/AQ89),-3)*(AQ89-1))</f>
        <v>#VALUE!</v>
      </c>
      <c r="AT89" s="62" t="e">
        <f>(VLOOKUP(L5,AN79:AP91,3,FALSE)-AS89)/(AQ89-1)</f>
        <v>#VALUE!</v>
      </c>
      <c r="AU89" s="15" t="e">
        <f t="shared" si="1"/>
        <v>#VALUE!</v>
      </c>
      <c r="AV89" s="5"/>
      <c r="AW89" s="5"/>
    </row>
    <row r="90" spans="39:49" ht="9">
      <c r="AM90" s="5"/>
      <c r="AN90" s="15">
        <v>11</v>
      </c>
      <c r="AO90" s="15">
        <v>5</v>
      </c>
      <c r="AP90" s="62" t="e">
        <f t="shared" si="0"/>
        <v>#VALUE!</v>
      </c>
      <c r="AQ90" s="15">
        <v>3</v>
      </c>
      <c r="AR90" s="15" t="s">
        <v>76</v>
      </c>
      <c r="AS90" s="64" t="e">
        <f>VLOOKUP(L5,AN79:AP91,3,FALSE)-(ROUNDDOWN((VLOOKUP(L5,AN79:AP91,3,FALSE)/AQ90),-3)*(AQ90-1))</f>
        <v>#VALUE!</v>
      </c>
      <c r="AT90" s="62" t="e">
        <f>(VLOOKUP(L5,AN79:AP91,3,FALSE)-AS90)/(AQ90-1)</f>
        <v>#VALUE!</v>
      </c>
      <c r="AU90" s="15" t="e">
        <f t="shared" si="1"/>
        <v>#VALUE!</v>
      </c>
      <c r="AV90" s="5"/>
      <c r="AW90" s="5"/>
    </row>
    <row r="91" spans="39:49" ht="9">
      <c r="AM91" s="5"/>
      <c r="AN91" s="15">
        <v>12</v>
      </c>
      <c r="AO91" s="15">
        <v>4</v>
      </c>
      <c r="AP91" s="62" t="e">
        <f t="shared" si="0"/>
        <v>#VALUE!</v>
      </c>
      <c r="AQ91" s="15">
        <v>2</v>
      </c>
      <c r="AR91" s="15" t="s">
        <v>77</v>
      </c>
      <c r="AS91" s="64" t="e">
        <f>VLOOKUP(L5,AN79:AP91,3,FALSE)-(ROUNDDOWN((VLOOKUP(L5,AN79:AP91,3,FALSE)/AQ91),-3)*(AQ91-1))</f>
        <v>#VALUE!</v>
      </c>
      <c r="AT91" s="62" t="e">
        <f>(VLOOKUP(L5,AN79:AP91,3,FALSE)-AS91)/(AQ91-1)</f>
        <v>#VALUE!</v>
      </c>
      <c r="AU91" s="15" t="e">
        <f>"初回が　"&amp;AS91&amp;"円、2回目は　"&amp;AT91&amp;"円になります。"</f>
        <v>#VALUE!</v>
      </c>
      <c r="AV91" s="5"/>
      <c r="AW91" s="5"/>
    </row>
    <row r="92" spans="39:49" ht="9"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39:49" ht="9"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39:49" ht="9"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39:49" ht="9"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39:49" ht="9"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39:49" ht="9.75" thickBot="1"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5"/>
    </row>
  </sheetData>
  <sheetProtection selectLockedCells="1" selectUnlockedCells="1"/>
  <mergeCells count="98">
    <mergeCell ref="B12:B16"/>
    <mergeCell ref="B35:F36"/>
    <mergeCell ref="G35:G36"/>
    <mergeCell ref="D17:E17"/>
    <mergeCell ref="B17:C17"/>
    <mergeCell ref="B34:G34"/>
    <mergeCell ref="D21:G21"/>
    <mergeCell ref="B31:G31"/>
    <mergeCell ref="B32:F33"/>
    <mergeCell ref="F14:G14"/>
    <mergeCell ref="I35:S35"/>
    <mergeCell ref="P23:Q23"/>
    <mergeCell ref="K23:L23"/>
    <mergeCell ref="Q34:S34"/>
    <mergeCell ref="R32:S32"/>
    <mergeCell ref="K44:L44"/>
    <mergeCell ref="L41:O41"/>
    <mergeCell ref="I25:J25"/>
    <mergeCell ref="K25:L25"/>
    <mergeCell ref="S25:T25"/>
    <mergeCell ref="O27:Q27"/>
    <mergeCell ref="T27:V27"/>
    <mergeCell ref="P41:Q41"/>
    <mergeCell ref="U25:V25"/>
    <mergeCell ref="N25:O25"/>
    <mergeCell ref="AO9:AO11"/>
    <mergeCell ref="U23:V23"/>
    <mergeCell ref="N23:O23"/>
    <mergeCell ref="U19:V19"/>
    <mergeCell ref="U13:V13"/>
    <mergeCell ref="AP9:AP11"/>
    <mergeCell ref="I16:J16"/>
    <mergeCell ref="K14:L14"/>
    <mergeCell ref="U11:V11"/>
    <mergeCell ref="P12:Q12"/>
    <mergeCell ref="S16:T16"/>
    <mergeCell ref="K16:L16"/>
    <mergeCell ref="AM9:AM11"/>
    <mergeCell ref="AN9:AN11"/>
    <mergeCell ref="U14:V14"/>
    <mergeCell ref="F15:G15"/>
    <mergeCell ref="F13:G13"/>
    <mergeCell ref="D19:G19"/>
    <mergeCell ref="P21:Q21"/>
    <mergeCell ref="S23:T23"/>
    <mergeCell ref="P19:Q19"/>
    <mergeCell ref="S12:T15"/>
    <mergeCell ref="U15:V15"/>
    <mergeCell ref="U12:V12"/>
    <mergeCell ref="U16:V16"/>
    <mergeCell ref="I17:V17"/>
    <mergeCell ref="I12:J15"/>
    <mergeCell ref="P16:Q16"/>
    <mergeCell ref="P15:Q15"/>
    <mergeCell ref="S10:V10"/>
    <mergeCell ref="J27:L27"/>
    <mergeCell ref="J32:K32"/>
    <mergeCell ref="K19:L19"/>
    <mergeCell ref="K21:L21"/>
    <mergeCell ref="N16:O16"/>
    <mergeCell ref="N12:O15"/>
    <mergeCell ref="I23:J23"/>
    <mergeCell ref="P25:Q25"/>
    <mergeCell ref="U21:V21"/>
    <mergeCell ref="S11:T11"/>
    <mergeCell ref="N11:O11"/>
    <mergeCell ref="P13:Q13"/>
    <mergeCell ref="K12:L12"/>
    <mergeCell ref="K13:L13"/>
    <mergeCell ref="K11:L11"/>
    <mergeCell ref="D5:E5"/>
    <mergeCell ref="D6:E6"/>
    <mergeCell ref="D7:E7"/>
    <mergeCell ref="D8:E8"/>
    <mergeCell ref="F5:G5"/>
    <mergeCell ref="F6:G6"/>
    <mergeCell ref="F7:G7"/>
    <mergeCell ref="F8:G8"/>
    <mergeCell ref="B10:B11"/>
    <mergeCell ref="G32:G33"/>
    <mergeCell ref="P11:Q11"/>
    <mergeCell ref="K15:L15"/>
    <mergeCell ref="F17:G17"/>
    <mergeCell ref="B27:G27"/>
    <mergeCell ref="B23:G25"/>
    <mergeCell ref="D12:E15"/>
    <mergeCell ref="D16:E16"/>
    <mergeCell ref="F12:G12"/>
    <mergeCell ref="I11:J11"/>
    <mergeCell ref="L6:N6"/>
    <mergeCell ref="C10:C11"/>
    <mergeCell ref="D10:G11"/>
    <mergeCell ref="C12:C16"/>
    <mergeCell ref="I10:L10"/>
    <mergeCell ref="L7:N7"/>
    <mergeCell ref="N10:Q10"/>
    <mergeCell ref="P14:Q14"/>
    <mergeCell ref="F16:G16"/>
  </mergeCells>
  <conditionalFormatting sqref="J6 F6:G6">
    <cfRule type="expression" priority="8" dxfId="16" stopIfTrue="1">
      <formula>$C$5="２人"</formula>
    </cfRule>
    <cfRule type="expression" priority="9" dxfId="16" stopIfTrue="1">
      <formula>$C$5="３人"</formula>
    </cfRule>
    <cfRule type="expression" priority="10" dxfId="16" stopIfTrue="1">
      <formula>$C$5="４人"</formula>
    </cfRule>
  </conditionalFormatting>
  <conditionalFormatting sqref="J7 F7:G7">
    <cfRule type="expression" priority="11" dxfId="16" stopIfTrue="1">
      <formula>$C$5="３人"</formula>
    </cfRule>
    <cfRule type="expression" priority="12" dxfId="16" stopIfTrue="1">
      <formula>$C$5="４人"</formula>
    </cfRule>
  </conditionalFormatting>
  <conditionalFormatting sqref="J8 F8:G8">
    <cfRule type="expression" priority="13" dxfId="16" stopIfTrue="1">
      <formula>$C$5="４人"</formula>
    </cfRule>
  </conditionalFormatting>
  <conditionalFormatting sqref="K25:L25">
    <cfRule type="expression" priority="14" dxfId="17" stopIfTrue="1">
      <formula>$K$23-$AN$9&gt;=0</formula>
    </cfRule>
  </conditionalFormatting>
  <conditionalFormatting sqref="P25:Q25">
    <cfRule type="expression" priority="15" dxfId="18" stopIfTrue="1">
      <formula>$P$23-$AO$9&gt;=0</formula>
    </cfRule>
  </conditionalFormatting>
  <conditionalFormatting sqref="U25:V25">
    <cfRule type="expression" priority="16" dxfId="19" stopIfTrue="1">
      <formula>$U$23-$AP$9&gt;=0</formula>
    </cfRule>
  </conditionalFormatting>
  <conditionalFormatting sqref="K23:L23">
    <cfRule type="expression" priority="17" dxfId="20" stopIfTrue="1">
      <formula>$K$23-$AN$9&lt;0</formula>
    </cfRule>
  </conditionalFormatting>
  <conditionalFormatting sqref="P23:Q23">
    <cfRule type="expression" priority="18" dxfId="21" stopIfTrue="1">
      <formula>$P$23-$AO$9&lt;0</formula>
    </cfRule>
  </conditionalFormatting>
  <conditionalFormatting sqref="U23:V23">
    <cfRule type="expression" priority="19" dxfId="19" stopIfTrue="1">
      <formula>$U$23-$AP$9&lt;0</formula>
    </cfRule>
  </conditionalFormatting>
  <conditionalFormatting sqref="L5 P5">
    <cfRule type="expression" priority="21" dxfId="22" stopIfTrue="1">
      <formula>$AM$44=0</formula>
    </cfRule>
  </conditionalFormatting>
  <conditionalFormatting sqref="J5">
    <cfRule type="expression" priority="23" dxfId="23" stopIfTrue="1">
      <formula>$C$5&lt;&gt;""</formula>
    </cfRule>
  </conditionalFormatting>
  <conditionalFormatting sqref="F5:G5">
    <cfRule type="expression" priority="24" dxfId="16" stopIfTrue="1">
      <formula>$C$5&lt;&gt;""</formula>
    </cfRule>
  </conditionalFormatting>
  <conditionalFormatting sqref="T7">
    <cfRule type="expression" priority="2" dxfId="24" stopIfTrue="1">
      <formula>$C$5&lt;&gt;""</formula>
    </cfRule>
  </conditionalFormatting>
  <dataValidations count="3">
    <dataValidation type="list" allowBlank="1" showInputMessage="1" showErrorMessage="1" sqref="C5">
      <formula1>$AP$40:$AP$44</formula1>
    </dataValidation>
    <dataValidation type="list" allowBlank="1" showInputMessage="1" showErrorMessage="1" sqref="J5:J9">
      <formula1>"　,はい,いいえ"</formula1>
    </dataValidation>
    <dataValidation type="list" allowBlank="1" showInputMessage="1" showErrorMessage="1" sqref="P5 L5">
      <formula1>$AN$79:$AN$91</formula1>
    </dataValidation>
  </dataValidations>
  <printOptions horizontalCentered="1" verticalCentered="1"/>
  <pageMargins left="0.708661417322835" right="0.708661417322835" top="0.748031496062992" bottom="0.748031496062992" header="0.31496062992126" footer="0.31496062992126"/>
  <pageSetup cellComments="atEnd" horizontalDpi="600" verticalDpi="600" orientation="landscape" paperSize="9" scale="139" r:id="rId4"/>
  <headerFooter alignWithMargins="0">
    <oddHeader>&amp;R金額はあくまで概算です。</oddHeader>
    <oddFooter>&amp;R東浦町役場　税務課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MINZEI</dc:creator>
  <cp:keywords/>
  <dc:description/>
  <cp:lastModifiedBy>森　美月</cp:lastModifiedBy>
  <cp:lastPrinted>2023-09-20T07:14:37Z</cp:lastPrinted>
  <dcterms:created xsi:type="dcterms:W3CDTF">2002-06-06T01:03:53Z</dcterms:created>
  <dcterms:modified xsi:type="dcterms:W3CDTF">2024-02-08T03:58:55Z</dcterms:modified>
  <cp:category/>
  <cp:version/>
  <cp:contentType/>
  <cp:contentStatus/>
</cp:coreProperties>
</file>