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72.16.7.13\24税務課\01_住民税係\040_国民健康保険税\070_試算\"/>
    </mc:Choice>
  </mc:AlternateContent>
  <xr:revisionPtr revIDLastSave="0" documentId="13_ncr:1_{CE226CD8-5325-433D-BC33-641EA8DD3CEA}" xr6:coauthVersionLast="47" xr6:coauthVersionMax="47" xr10:uidLastSave="{00000000-0000-0000-0000-000000000000}"/>
  <bookViews>
    <workbookView showSheetTabs="0" xWindow="-120" yWindow="-120" windowWidth="29040" windowHeight="15720" tabRatio="830" firstSheet="1" activeTab="1" xr2:uid="{00000000-000D-0000-FFFF-FFFF00000000}"/>
  </bookViews>
  <sheets>
    <sheet name="Graph1" sheetId="25" state="hidden" r:id="rId1"/>
    <sheet name="試算" sheetId="24" r:id="rId2"/>
  </sheets>
  <definedNames>
    <definedName name="_xlnm._FilterDatabase" localSheetId="1" hidden="1">試算!$C$5:$G$8</definedName>
    <definedName name="_xlnm.Print_Area" localSheetId="1">試算!$A$1:$BG$38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Z21" i="24" l="1"/>
  <c r="U25" i="24"/>
  <c r="Z25" i="24"/>
  <c r="F12" i="24" l="1"/>
  <c r="F13" i="24"/>
  <c r="BB41" i="24"/>
  <c r="BB42" i="24"/>
  <c r="BB43" i="24"/>
  <c r="BB45" i="24"/>
  <c r="BB46" i="24"/>
  <c r="BB47" i="24"/>
  <c r="BA41" i="24"/>
  <c r="BE41" i="24" s="1"/>
  <c r="AY42" i="24"/>
  <c r="BC42" i="24" s="1"/>
  <c r="AY41" i="24"/>
  <c r="BC41" i="24" s="1"/>
  <c r="X12" i="24"/>
  <c r="AX5" i="24"/>
  <c r="K25" i="24"/>
  <c r="X21" i="24"/>
  <c r="X19" i="24"/>
  <c r="S12" i="24"/>
  <c r="Y34" i="24"/>
  <c r="Y32" i="24"/>
  <c r="Y21" i="24"/>
  <c r="Y19" i="24"/>
  <c r="P25" i="24"/>
  <c r="N12" i="24"/>
  <c r="BA47" i="24"/>
  <c r="BE47" i="24" s="1"/>
  <c r="AZ47" i="24"/>
  <c r="BD47" i="24" s="1"/>
  <c r="BA46" i="24"/>
  <c r="BE46" i="24" s="1"/>
  <c r="AZ46" i="24"/>
  <c r="BD46" i="24" s="1"/>
  <c r="BA45" i="24"/>
  <c r="BE45" i="24" s="1"/>
  <c r="AZ45" i="24"/>
  <c r="BD45" i="24" s="1"/>
  <c r="AY46" i="24"/>
  <c r="BC46" i="24" s="1"/>
  <c r="AY47" i="24"/>
  <c r="BC47" i="24"/>
  <c r="AY45" i="24"/>
  <c r="BC45" i="24" s="1"/>
  <c r="BA43" i="24"/>
  <c r="BE43" i="24" s="1"/>
  <c r="AZ43" i="24"/>
  <c r="BD43" i="24" s="1"/>
  <c r="BA42" i="24"/>
  <c r="BE42" i="24" s="1"/>
  <c r="AZ42" i="24"/>
  <c r="BD42" i="24" s="1"/>
  <c r="AZ41" i="24"/>
  <c r="BD41" i="24" s="1"/>
  <c r="AY43" i="24"/>
  <c r="BC43" i="24" s="1"/>
  <c r="S21" i="24"/>
  <c r="S19" i="24"/>
  <c r="N21" i="24"/>
  <c r="N19" i="24"/>
  <c r="I21" i="24"/>
  <c r="I19" i="24"/>
  <c r="D8" i="24"/>
  <c r="I8" i="24" s="1"/>
  <c r="D7" i="24"/>
  <c r="I7" i="24" s="1"/>
  <c r="D6" i="24"/>
  <c r="I6" i="24" s="1"/>
  <c r="D5" i="24"/>
  <c r="I5" i="24" s="1"/>
  <c r="F15" i="24"/>
  <c r="F14" i="24"/>
  <c r="AT47" i="24"/>
  <c r="I12" i="24"/>
  <c r="J19" i="24"/>
  <c r="O19" i="24"/>
  <c r="T21" i="24"/>
  <c r="J21" i="24"/>
  <c r="T19" i="24"/>
  <c r="O21" i="24"/>
  <c r="AR42" i="24" l="1"/>
  <c r="Z14" i="24"/>
  <c r="AR41" i="24"/>
  <c r="Z13" i="24"/>
  <c r="P15" i="24"/>
  <c r="Z15" i="24"/>
  <c r="AR40" i="24"/>
  <c r="Z12" i="24"/>
  <c r="U12" i="24"/>
  <c r="AT40" i="24" s="1"/>
  <c r="P12" i="24"/>
  <c r="U13" i="24"/>
  <c r="AT41" i="24" s="1"/>
  <c r="AU41" i="24"/>
  <c r="AU40" i="24"/>
  <c r="AU43" i="24"/>
  <c r="AR43" i="24"/>
  <c r="AU42" i="24"/>
  <c r="U15" i="24"/>
  <c r="AT43" i="24" s="1"/>
  <c r="P14" i="24"/>
  <c r="U14" i="24"/>
  <c r="AT42" i="24" s="1"/>
  <c r="K12" i="24"/>
  <c r="K15" i="24"/>
  <c r="K14" i="24"/>
  <c r="F16" i="24"/>
  <c r="K13" i="24"/>
  <c r="P13" i="24"/>
  <c r="AR44" i="24" l="1"/>
  <c r="AU44" i="24"/>
  <c r="Z16" i="24"/>
  <c r="P16" i="24"/>
  <c r="U16" i="24"/>
  <c r="K16" i="24"/>
  <c r="AT44" i="24"/>
  <c r="F17" i="24" l="1"/>
  <c r="AY5" i="24" s="1"/>
  <c r="AZ5" i="24" s="1"/>
  <c r="U7" i="24"/>
  <c r="P6" i="24"/>
  <c r="Q5" i="24"/>
  <c r="N5" i="24"/>
  <c r="L6" i="24"/>
  <c r="AX7" i="24"/>
  <c r="AX6" i="24"/>
  <c r="BA5" i="24" l="1"/>
  <c r="AY6" i="24"/>
  <c r="AY7" i="24"/>
  <c r="BA7" i="24" s="1"/>
  <c r="AZ7" i="24" l="1"/>
  <c r="AZ6" i="24"/>
  <c r="BA6" i="24"/>
  <c r="AZ8" i="24" l="1"/>
  <c r="I17" i="24" s="1"/>
  <c r="BC10" i="24"/>
  <c r="Z19" i="24" l="1"/>
  <c r="P19" i="24"/>
  <c r="U19" i="24"/>
  <c r="K19" i="24"/>
  <c r="P21" i="24"/>
  <c r="K21" i="24"/>
  <c r="Z23" i="24" l="1"/>
  <c r="K23" i="24"/>
  <c r="AT46" i="24" s="1"/>
  <c r="J27" i="24" s="1"/>
  <c r="P23" i="24"/>
  <c r="AU46" i="24" s="1"/>
  <c r="O27" i="24" s="1"/>
  <c r="U21" i="24"/>
  <c r="U23" i="24" s="1"/>
  <c r="AV46" i="24" s="1"/>
  <c r="T27" i="24" s="1"/>
  <c r="AW46" i="24" l="1"/>
  <c r="Y27" i="24" s="1"/>
  <c r="J32" i="24" s="1"/>
  <c r="B32" i="24" s="1"/>
  <c r="G32" i="24" s="1"/>
  <c r="R32" i="24" l="1"/>
  <c r="I34" i="24" s="1"/>
  <c r="AV80" i="24"/>
  <c r="AV88" i="24"/>
  <c r="AV83" i="24"/>
  <c r="AY87" i="24" s="1"/>
  <c r="AZ87" i="24" s="1"/>
  <c r="BA87" i="24" s="1"/>
  <c r="AV87" i="24"/>
  <c r="AV86" i="24"/>
  <c r="AV90" i="24"/>
  <c r="AV82" i="24"/>
  <c r="AV91" i="24"/>
  <c r="AV89" i="24"/>
  <c r="AV81" i="24"/>
  <c r="AV85" i="24"/>
  <c r="AV84" i="24"/>
  <c r="I33" i="24"/>
  <c r="T32" i="24"/>
  <c r="I35" i="24"/>
  <c r="L32" i="24"/>
  <c r="I32" i="24"/>
  <c r="T34" i="24"/>
  <c r="Q34" i="24" l="1"/>
  <c r="B35" i="24" s="1"/>
  <c r="B34" i="24" s="1"/>
  <c r="AY90" i="24"/>
  <c r="AZ90" i="24" s="1"/>
  <c r="BA90" i="24" s="1"/>
  <c r="AY88" i="24"/>
  <c r="AZ88" i="24" s="1"/>
  <c r="BA88" i="24" s="1"/>
  <c r="AY81" i="24"/>
  <c r="AY83" i="24"/>
  <c r="AZ83" i="24" s="1"/>
  <c r="BA83" i="24" s="1"/>
  <c r="I36" i="24" s="1"/>
  <c r="AY85" i="24"/>
  <c r="AZ85" i="24" s="1"/>
  <c r="BA85" i="24" s="1"/>
  <c r="AY80" i="24"/>
  <c r="AY82" i="24"/>
  <c r="AY84" i="24"/>
  <c r="AZ84" i="24" s="1"/>
  <c r="BA84" i="24" s="1"/>
  <c r="AY86" i="24"/>
  <c r="AZ86" i="24" s="1"/>
  <c r="BA86" i="24" s="1"/>
  <c r="AY89" i="24"/>
  <c r="AZ89" i="24" s="1"/>
  <c r="BA89" i="24" s="1"/>
  <c r="AY91" i="24"/>
  <c r="AZ91" i="24" s="1"/>
  <c r="BA91" i="24" s="1"/>
  <c r="G35" i="2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東浦町</author>
    <author>宇治田　昌弘</author>
  </authors>
  <commentList>
    <comment ref="F5" authorId="0" shapeId="0" xr:uid="{00000000-0006-0000-0100-000001000000}">
      <text>
        <r>
          <rPr>
            <b/>
            <sz val="6"/>
            <color indexed="81"/>
            <rFont val="ＭＳ Ｐゴシック"/>
            <family val="3"/>
            <charset val="128"/>
          </rPr>
          <t>総所得金額等</t>
        </r>
        <r>
          <rPr>
            <sz val="6"/>
            <color indexed="81"/>
            <rFont val="ＭＳ Ｐゴシック"/>
            <family val="3"/>
            <charset val="128"/>
          </rPr>
          <t xml:space="preserve">
　給与所得は「源泉徴収票」の「給与所得控除後の金額」の欄、事業所得は総収入－必要経費。
　確定申告済の場合、申告書の「所得金額」の「合計」欄の額（分離譲渡所得があれば特別控除額後の額を加算）。</t>
        </r>
      </text>
    </comment>
    <comment ref="D17" authorId="1" shapeId="0" xr:uid="{00000000-0006-0000-0100-000002000000}">
      <text>
        <r>
          <rPr>
            <sz val="6"/>
            <color indexed="81"/>
            <rFont val="ＭＳ Ｐゴシック"/>
            <family val="3"/>
            <charset val="128"/>
          </rPr>
          <t>　「軽減判定所得」とは、世帯の国保加入者全員と、国保加入者以外に世帯主が居る場合にその世帯主の「総所得金額等」を合算した金額です。（特定同一世帯所属者も含みますが、本フォームでは対応していません。）
　「軽減判定所得」には、以下の注意点があります。 
【1】住民税基礎控除額である43万円は差し引きません。
【2】事業専従者の給与はないものとして扱い、また事業専従者控除は行いません。
【3】土地・建物の譲渡所得は、特別控除が適用されません。</t>
        </r>
      </text>
    </comment>
  </commentList>
</comments>
</file>

<file path=xl/sharedStrings.xml><?xml version="1.0" encoding="utf-8"?>
<sst xmlns="http://schemas.openxmlformats.org/spreadsheetml/2006/main" count="115" uniqueCount="85">
  <si>
    <t>所得割額</t>
  </si>
  <si>
    <t>均等割額</t>
  </si>
  <si>
    <t>平等割額</t>
  </si>
  <si>
    <t>医療分</t>
    <rPh sb="0" eb="2">
      <t>イリョウ</t>
    </rPh>
    <rPh sb="2" eb="3">
      <t>ブン</t>
    </rPh>
    <phoneticPr fontId="2"/>
  </si>
  <si>
    <t>所得割控除</t>
    <rPh sb="0" eb="2">
      <t>ショトク</t>
    </rPh>
    <rPh sb="2" eb="3">
      <t>ワリ</t>
    </rPh>
    <rPh sb="3" eb="5">
      <t>コウジョ</t>
    </rPh>
    <phoneticPr fontId="2"/>
  </si>
  <si>
    <t>所得割</t>
    <rPh sb="0" eb="2">
      <t>ショトク</t>
    </rPh>
    <rPh sb="2" eb="3">
      <t>ワリ</t>
    </rPh>
    <phoneticPr fontId="2"/>
  </si>
  <si>
    <t>資産割</t>
    <rPh sb="0" eb="2">
      <t>シサン</t>
    </rPh>
    <rPh sb="2" eb="3">
      <t>ワリ</t>
    </rPh>
    <phoneticPr fontId="2"/>
  </si>
  <si>
    <t>均等割</t>
    <rPh sb="0" eb="3">
      <t>キントウワリ</t>
    </rPh>
    <phoneticPr fontId="2"/>
  </si>
  <si>
    <t>平等割</t>
    <rPh sb="0" eb="2">
      <t>ビョウドウ</t>
    </rPh>
    <rPh sb="2" eb="3">
      <t>ワリ</t>
    </rPh>
    <phoneticPr fontId="2"/>
  </si>
  <si>
    <t>医療</t>
    <rPh sb="0" eb="2">
      <t>イリョウ</t>
    </rPh>
    <phoneticPr fontId="2"/>
  </si>
  <si>
    <t>後期</t>
    <rPh sb="0" eb="2">
      <t>コウキ</t>
    </rPh>
    <phoneticPr fontId="2"/>
  </si>
  <si>
    <t>介護</t>
    <rPh sb="0" eb="2">
      <t>カイゴ</t>
    </rPh>
    <phoneticPr fontId="2"/>
  </si>
  <si>
    <t>課税基礎額</t>
    <rPh sb="0" eb="2">
      <t>カゼイ</t>
    </rPh>
    <rPh sb="2" eb="4">
      <t>キソ</t>
    </rPh>
    <rPh sb="4" eb="5">
      <t>ガク</t>
    </rPh>
    <phoneticPr fontId="2"/>
  </si>
  <si>
    <t>後期高齢支援金分</t>
    <rPh sb="0" eb="2">
      <t>コウキ</t>
    </rPh>
    <rPh sb="2" eb="4">
      <t>コウレイ</t>
    </rPh>
    <rPh sb="4" eb="7">
      <t>シエンキン</t>
    </rPh>
    <rPh sb="7" eb="8">
      <t>ブン</t>
    </rPh>
    <phoneticPr fontId="2"/>
  </si>
  <si>
    <t>税率</t>
    <rPh sb="0" eb="2">
      <t>ゼイリツ</t>
    </rPh>
    <phoneticPr fontId="2"/>
  </si>
  <si>
    <t>税額</t>
    <rPh sb="0" eb="2">
      <t>ゼイガク</t>
    </rPh>
    <phoneticPr fontId="2"/>
  </si>
  <si>
    <t>加入者１人毎に</t>
    <rPh sb="0" eb="3">
      <t>カニュウシャ</t>
    </rPh>
    <rPh sb="4" eb="5">
      <t>リ</t>
    </rPh>
    <rPh sb="5" eb="6">
      <t>ゴト</t>
    </rPh>
    <phoneticPr fontId="2"/>
  </si>
  <si>
    <t>１世帯につき</t>
    <rPh sb="1" eb="3">
      <t>セタイ</t>
    </rPh>
    <phoneticPr fontId="2"/>
  </si>
  <si>
    <t>小計</t>
    <rPh sb="0" eb="2">
      <t>ショウケイ</t>
    </rPh>
    <phoneticPr fontId="2"/>
  </si>
  <si>
    <t>パラメータ</t>
    <phoneticPr fontId="2"/>
  </si>
  <si>
    <t>介護該当戻り値</t>
    <rPh sb="0" eb="2">
      <t>カイゴ</t>
    </rPh>
    <rPh sb="2" eb="4">
      <t>ガイトウ</t>
    </rPh>
    <rPh sb="4" eb="5">
      <t>モド</t>
    </rPh>
    <rPh sb="6" eb="7">
      <t>チ</t>
    </rPh>
    <phoneticPr fontId="2"/>
  </si>
  <si>
    <t>医療・後期該当戻り値</t>
    <rPh sb="0" eb="2">
      <t>イリョウ</t>
    </rPh>
    <rPh sb="3" eb="5">
      <t>コウキ</t>
    </rPh>
    <rPh sb="5" eb="7">
      <t>ガイトウ</t>
    </rPh>
    <rPh sb="7" eb="8">
      <t>モド</t>
    </rPh>
    <rPh sb="9" eb="10">
      <t>チ</t>
    </rPh>
    <phoneticPr fontId="2"/>
  </si>
  <si>
    <t>入力完了戻り値</t>
    <rPh sb="0" eb="2">
      <t>ニュウリョク</t>
    </rPh>
    <rPh sb="2" eb="4">
      <t>カンリョウ</t>
    </rPh>
    <rPh sb="4" eb="5">
      <t>モド</t>
    </rPh>
    <rPh sb="6" eb="7">
      <t>チ</t>
    </rPh>
    <phoneticPr fontId="2"/>
  </si>
  <si>
    <t>最高限度額</t>
    <rPh sb="0" eb="2">
      <t>サイコウ</t>
    </rPh>
    <rPh sb="2" eb="4">
      <t>ゲンド</t>
    </rPh>
    <rPh sb="4" eb="5">
      <t>ガク</t>
    </rPh>
    <phoneticPr fontId="2"/>
  </si>
  <si>
    <t>限度額</t>
    <rPh sb="0" eb="2">
      <t>ゲンド</t>
    </rPh>
    <rPh sb="2" eb="3">
      <t>ガク</t>
    </rPh>
    <phoneticPr fontId="2"/>
  </si>
  <si>
    <t>合計（A）</t>
    <rPh sb="0" eb="2">
      <t>ゴウケイ</t>
    </rPh>
    <phoneticPr fontId="2"/>
  </si>
  <si>
    <t>合計（B）</t>
    <rPh sb="0" eb="2">
      <t>ゴウケイ</t>
    </rPh>
    <phoneticPr fontId="2"/>
  </si>
  <si>
    <t>合計（C）</t>
    <rPh sb="0" eb="2">
      <t>ゴウケイ</t>
    </rPh>
    <phoneticPr fontId="2"/>
  </si>
  <si>
    <t>採用する算出額</t>
    <rPh sb="0" eb="2">
      <t>サイヨウ</t>
    </rPh>
    <rPh sb="4" eb="6">
      <t>サンシュツ</t>
    </rPh>
    <rPh sb="6" eb="7">
      <t>ガク</t>
    </rPh>
    <phoneticPr fontId="2"/>
  </si>
  <si>
    <t>A</t>
    <phoneticPr fontId="2"/>
  </si>
  <si>
    <t>B</t>
    <phoneticPr fontId="2"/>
  </si>
  <si>
    <t>C</t>
    <phoneticPr fontId="2"/>
  </si>
  <si>
    <t>加入月戻り値</t>
    <rPh sb="0" eb="2">
      <t>カニュウ</t>
    </rPh>
    <rPh sb="2" eb="3">
      <t>ツキ</t>
    </rPh>
    <rPh sb="3" eb="4">
      <t>モド</t>
    </rPh>
    <rPh sb="5" eb="6">
      <t>チ</t>
    </rPh>
    <phoneticPr fontId="2"/>
  </si>
  <si>
    <t>納期回数</t>
    <rPh sb="0" eb="2">
      <t>ノウキ</t>
    </rPh>
    <rPh sb="2" eb="4">
      <t>カイスウ</t>
    </rPh>
    <phoneticPr fontId="2"/>
  </si>
  <si>
    <t>３月末まで月数</t>
    <rPh sb="1" eb="2">
      <t>ガツ</t>
    </rPh>
    <rPh sb="2" eb="3">
      <t>マツ</t>
    </rPh>
    <rPh sb="5" eb="7">
      <t>ツキスウ</t>
    </rPh>
    <phoneticPr fontId="2"/>
  </si>
  <si>
    <t>加入月数</t>
    <rPh sb="0" eb="2">
      <t>カニュウ</t>
    </rPh>
    <rPh sb="2" eb="4">
      <t>ツキスウ</t>
    </rPh>
    <phoneticPr fontId="2"/>
  </si>
  <si>
    <t>算出額　（100円未満切捨て）</t>
    <rPh sb="0" eb="2">
      <t>サンシュツ</t>
    </rPh>
    <rPh sb="2" eb="3">
      <t>ガク</t>
    </rPh>
    <rPh sb="8" eb="9">
      <t>エン</t>
    </rPh>
    <rPh sb="9" eb="11">
      <t>ミマン</t>
    </rPh>
    <rPh sb="11" eb="13">
      <t>キリス</t>
    </rPh>
    <phoneticPr fontId="2"/>
  </si>
  <si>
    <t>月</t>
    <rPh sb="0" eb="1">
      <t>ツキ</t>
    </rPh>
    <phoneticPr fontId="2"/>
  </si>
  <si>
    <t>文章化</t>
    <rPh sb="0" eb="2">
      <t>ブンショウ</t>
    </rPh>
    <rPh sb="2" eb="3">
      <t>カ</t>
    </rPh>
    <phoneticPr fontId="2"/>
  </si>
  <si>
    <t>1回目納付額</t>
    <rPh sb="1" eb="3">
      <t>カイメ</t>
    </rPh>
    <rPh sb="3" eb="5">
      <t>ノウフ</t>
    </rPh>
    <rPh sb="5" eb="6">
      <t>ガク</t>
    </rPh>
    <phoneticPr fontId="2"/>
  </si>
  <si>
    <t>2回目以降</t>
    <rPh sb="1" eb="5">
      <t>カイメイコウ</t>
    </rPh>
    <phoneticPr fontId="2"/>
  </si>
  <si>
    <t>2月の １回</t>
    <rPh sb="1" eb="2">
      <t>ガツ</t>
    </rPh>
    <rPh sb="5" eb="6">
      <t>カイ</t>
    </rPh>
    <phoneticPr fontId="2"/>
  </si>
  <si>
    <t>3月の 1回</t>
    <rPh sb="1" eb="2">
      <t>ガツ</t>
    </rPh>
    <rPh sb="5" eb="6">
      <t>カイ</t>
    </rPh>
    <phoneticPr fontId="2"/>
  </si>
  <si>
    <t>4月の 1回</t>
    <rPh sb="1" eb="2">
      <t>ガツ</t>
    </rPh>
    <rPh sb="5" eb="6">
      <t>カイ</t>
    </rPh>
    <phoneticPr fontId="2"/>
  </si>
  <si>
    <t>人数選択</t>
    <rPh sb="0" eb="2">
      <t>ニンズウ</t>
    </rPh>
    <rPh sb="2" eb="4">
      <t>センタク</t>
    </rPh>
    <phoneticPr fontId="2"/>
  </si>
  <si>
    <t>１人</t>
    <phoneticPr fontId="2"/>
  </si>
  <si>
    <t>２人</t>
    <phoneticPr fontId="2"/>
  </si>
  <si>
    <t>３人</t>
    <phoneticPr fontId="2"/>
  </si>
  <si>
    <t>４人</t>
    <phoneticPr fontId="2"/>
  </si>
  <si>
    <t>区 分</t>
    <phoneticPr fontId="2"/>
  </si>
  <si>
    <t>介護分　(40歳～64歳の方)</t>
    <rPh sb="0" eb="2">
      <t>カイゴ</t>
    </rPh>
    <rPh sb="2" eb="3">
      <t>ブン</t>
    </rPh>
    <rPh sb="7" eb="8">
      <t>サイ</t>
    </rPh>
    <rPh sb="11" eb="12">
      <t>サイ</t>
    </rPh>
    <rPh sb="13" eb="14">
      <t>カタ</t>
    </rPh>
    <phoneticPr fontId="2"/>
  </si>
  <si>
    <t>合計と最高限度額を比べて少ない方が
算出額になります。(着色された方の額)</t>
    <rPh sb="0" eb="2">
      <t>ゴウケイ</t>
    </rPh>
    <rPh sb="3" eb="5">
      <t>サイコウ</t>
    </rPh>
    <rPh sb="5" eb="7">
      <t>ゲンド</t>
    </rPh>
    <rPh sb="7" eb="8">
      <t>ガク</t>
    </rPh>
    <rPh sb="9" eb="10">
      <t>クラ</t>
    </rPh>
    <rPh sb="12" eb="13">
      <t>スク</t>
    </rPh>
    <rPh sb="15" eb="16">
      <t>ホウ</t>
    </rPh>
    <rPh sb="18" eb="20">
      <t>サンシュツ</t>
    </rPh>
    <rPh sb="20" eb="21">
      <t>ガク</t>
    </rPh>
    <rPh sb="28" eb="30">
      <t>チャクショク</t>
    </rPh>
    <rPh sb="33" eb="34">
      <t>ホウ</t>
    </rPh>
    <rPh sb="35" eb="36">
      <t>ガク</t>
    </rPh>
    <phoneticPr fontId="2"/>
  </si>
  <si>
    <t>５割軽減</t>
    <rPh sb="1" eb="2">
      <t>ワリ</t>
    </rPh>
    <rPh sb="2" eb="4">
      <t>ケイゲン</t>
    </rPh>
    <phoneticPr fontId="2"/>
  </si>
  <si>
    <t>２割軽減</t>
    <rPh sb="1" eb="2">
      <t>ワリ</t>
    </rPh>
    <rPh sb="2" eb="4">
      <t>ケイゲン</t>
    </rPh>
    <phoneticPr fontId="2"/>
  </si>
  <si>
    <t>軽減割合</t>
    <rPh sb="0" eb="2">
      <t>ケイゲン</t>
    </rPh>
    <rPh sb="2" eb="4">
      <t>ワリアイ</t>
    </rPh>
    <phoneticPr fontId="2"/>
  </si>
  <si>
    <t>基礎控除額</t>
    <rPh sb="0" eb="2">
      <t>キソ</t>
    </rPh>
    <rPh sb="2" eb="4">
      <t>コウジョ</t>
    </rPh>
    <rPh sb="4" eb="5">
      <t>ガク</t>
    </rPh>
    <phoneticPr fontId="2"/>
  </si>
  <si>
    <t>一人当たり
加算額</t>
    <rPh sb="0" eb="2">
      <t>ヒトリ</t>
    </rPh>
    <rPh sb="2" eb="3">
      <t>ア</t>
    </rPh>
    <rPh sb="6" eb="9">
      <t>カサンガク</t>
    </rPh>
    <phoneticPr fontId="2"/>
  </si>
  <si>
    <t>判定基準額</t>
    <rPh sb="0" eb="2">
      <t>ハンテイ</t>
    </rPh>
    <rPh sb="2" eb="4">
      <t>キジュン</t>
    </rPh>
    <rPh sb="4" eb="5">
      <t>ガク</t>
    </rPh>
    <phoneticPr fontId="2"/>
  </si>
  <si>
    <t>7割</t>
    <rPh sb="1" eb="2">
      <t>ワリ</t>
    </rPh>
    <phoneticPr fontId="2"/>
  </si>
  <si>
    <t>均等割</t>
    <rPh sb="0" eb="3">
      <t>キントウワ</t>
    </rPh>
    <phoneticPr fontId="2"/>
  </si>
  <si>
    <t>5割</t>
    <rPh sb="1" eb="2">
      <t>ワリ</t>
    </rPh>
    <phoneticPr fontId="2"/>
  </si>
  <si>
    <t>2割</t>
    <rPh sb="1" eb="2">
      <t>ワリ</t>
    </rPh>
    <phoneticPr fontId="2"/>
  </si>
  <si>
    <t>軽減後税率</t>
    <rPh sb="0" eb="2">
      <t>ケイゲン</t>
    </rPh>
    <rPh sb="2" eb="3">
      <t>ゴ</t>
    </rPh>
    <rPh sb="3" eb="5">
      <t>ゼイリツ</t>
    </rPh>
    <phoneticPr fontId="2"/>
  </si>
  <si>
    <t>軽減判定</t>
    <rPh sb="0" eb="2">
      <t>ケイゲン</t>
    </rPh>
    <rPh sb="2" eb="4">
      <t>ハンテイ</t>
    </rPh>
    <phoneticPr fontId="2"/>
  </si>
  <si>
    <t>太枠内の値を書き換えること</t>
    <rPh sb="0" eb="2">
      <t>フトワク</t>
    </rPh>
    <rPh sb="2" eb="3">
      <t>ナイ</t>
    </rPh>
    <rPh sb="4" eb="5">
      <t>アタイ</t>
    </rPh>
    <rPh sb="6" eb="7">
      <t>カ</t>
    </rPh>
    <rPh sb="8" eb="9">
      <t>カ</t>
    </rPh>
    <phoneticPr fontId="2"/>
  </si>
  <si>
    <t>文章化</t>
    <rPh sb="0" eb="3">
      <t>ブンショウカ</t>
    </rPh>
    <phoneticPr fontId="2"/>
  </si>
  <si>
    <t>採用</t>
    <rPh sb="0" eb="2">
      <t>サイヨウ</t>
    </rPh>
    <phoneticPr fontId="2"/>
  </si>
  <si>
    <t>７割軽減</t>
    <rPh sb="1" eb="2">
      <t>ワリ</t>
    </rPh>
    <rPh sb="2" eb="4">
      <t>ケイゲン</t>
    </rPh>
    <phoneticPr fontId="2"/>
  </si>
  <si>
    <t>軽減判定所得</t>
    <rPh sb="0" eb="2">
      <t>ケイゲン</t>
    </rPh>
    <rPh sb="2" eb="4">
      <t>ハンテイ</t>
    </rPh>
    <rPh sb="4" eb="6">
      <t>ショトク</t>
    </rPh>
    <phoneticPr fontId="2"/>
  </si>
  <si>
    <t>※軽減判定</t>
    <rPh sb="1" eb="3">
      <t>ケイゲン</t>
    </rPh>
    <rPh sb="3" eb="5">
      <t>ハンテイ</t>
    </rPh>
    <phoneticPr fontId="2"/>
  </si>
  <si>
    <t>年額（12ヶ月加入した場合）=(A+B+C)</t>
    <phoneticPr fontId="2"/>
  </si>
  <si>
    <t>7月から 2月までの 8回</t>
    <rPh sb="1" eb="2">
      <t>ガツ</t>
    </rPh>
    <rPh sb="6" eb="7">
      <t>ガツ</t>
    </rPh>
    <rPh sb="12" eb="13">
      <t>カイ</t>
    </rPh>
    <phoneticPr fontId="2"/>
  </si>
  <si>
    <t>8月から 2月までの 7回</t>
    <rPh sb="1" eb="2">
      <t>ガツ</t>
    </rPh>
    <rPh sb="12" eb="13">
      <t>カイ</t>
    </rPh>
    <phoneticPr fontId="2"/>
  </si>
  <si>
    <t>9月から 2月までの 6回</t>
    <rPh sb="1" eb="2">
      <t>ガツ</t>
    </rPh>
    <rPh sb="12" eb="13">
      <t>カイ</t>
    </rPh>
    <phoneticPr fontId="2"/>
  </si>
  <si>
    <t>10月から 2月までの 5回</t>
    <rPh sb="2" eb="3">
      <t>ガツ</t>
    </rPh>
    <rPh sb="13" eb="14">
      <t>カイ</t>
    </rPh>
    <phoneticPr fontId="2"/>
  </si>
  <si>
    <t>11月から 2月までの 4回</t>
    <rPh sb="2" eb="3">
      <t>ガツ</t>
    </rPh>
    <rPh sb="13" eb="14">
      <t>カイ</t>
    </rPh>
    <phoneticPr fontId="2"/>
  </si>
  <si>
    <t>12月から 2月までの 3回</t>
    <rPh sb="2" eb="3">
      <t>ガツ</t>
    </rPh>
    <rPh sb="13" eb="14">
      <t>カイ</t>
    </rPh>
    <phoneticPr fontId="2"/>
  </si>
  <si>
    <t>1月から 2月までの 2回</t>
    <rPh sb="1" eb="2">
      <t>ガツ</t>
    </rPh>
    <rPh sb="12" eb="13">
      <t>カイ</t>
    </rPh>
    <phoneticPr fontId="2"/>
  </si>
  <si>
    <t>総所得金額等
－43万円</t>
    <rPh sb="3" eb="5">
      <t>キンガク</t>
    </rPh>
    <rPh sb="5" eb="6">
      <t>トウ</t>
    </rPh>
    <phoneticPr fontId="2"/>
  </si>
  <si>
    <t>子ども・子育て支援金分</t>
    <rPh sb="0" eb="1">
      <t>コ</t>
    </rPh>
    <rPh sb="4" eb="5">
      <t>コ</t>
    </rPh>
    <rPh sb="5" eb="6">
      <t>ソダ</t>
    </rPh>
    <rPh sb="7" eb="10">
      <t>シエンキン</t>
    </rPh>
    <rPh sb="10" eb="11">
      <t>ブン</t>
    </rPh>
    <phoneticPr fontId="2"/>
  </si>
  <si>
    <t>子ども・子育て支援金分</t>
    <phoneticPr fontId="2"/>
  </si>
  <si>
    <t>国民健康保険税の試算（令和８年度分）</t>
    <rPh sb="0" eb="2">
      <t>コクミン</t>
    </rPh>
    <rPh sb="2" eb="4">
      <t>ケンコウ</t>
    </rPh>
    <rPh sb="4" eb="6">
      <t>ホケン</t>
    </rPh>
    <rPh sb="6" eb="7">
      <t>ゼイ</t>
    </rPh>
    <rPh sb="8" eb="10">
      <t>シサン</t>
    </rPh>
    <rPh sb="11" eb="13">
      <t>レイワ</t>
    </rPh>
    <rPh sb="14" eb="16">
      <t>ネンド</t>
    </rPh>
    <rPh sb="16" eb="17">
      <t>ブン</t>
    </rPh>
    <phoneticPr fontId="2"/>
  </si>
  <si>
    <t>子ども・子育て</t>
    <rPh sb="0" eb="1">
      <t>コ</t>
    </rPh>
    <rPh sb="4" eb="6">
      <t>コソダ</t>
    </rPh>
    <phoneticPr fontId="2"/>
  </si>
  <si>
    <t>子ども・子育て該当戻り値</t>
    <rPh sb="0" eb="1">
      <t>コ</t>
    </rPh>
    <rPh sb="4" eb="6">
      <t>コソダ</t>
    </rPh>
    <phoneticPr fontId="2"/>
  </si>
  <si>
    <t>D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</si>
</sst>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);[Red]\(#,##0\)"/>
    <numFmt numFmtId="177" formatCode="#,##0_ "/>
    <numFmt numFmtId="178" formatCode="#,##0&quot;円&quot;"/>
  </numFmts>
  <fonts count="28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9"/>
      <name val="HG丸ｺﾞｼｯｸM-PRO"/>
      <family val="3"/>
      <charset val="128"/>
    </font>
    <font>
      <b/>
      <sz val="6"/>
      <name val="HG丸ｺﾞｼｯｸM-PRO"/>
      <family val="3"/>
      <charset val="128"/>
    </font>
    <font>
      <b/>
      <sz val="6"/>
      <name val="HGSｺﾞｼｯｸE"/>
      <family val="3"/>
      <charset val="128"/>
    </font>
    <font>
      <sz val="6"/>
      <name val="HG丸ｺﾞｼｯｸM-PRO"/>
      <family val="3"/>
      <charset val="128"/>
    </font>
    <font>
      <sz val="6"/>
      <color indexed="9"/>
      <name val="HGｺﾞｼｯｸM"/>
      <family val="3"/>
      <charset val="128"/>
    </font>
    <font>
      <sz val="6"/>
      <color indexed="9"/>
      <name val="ＭＳ Ｐゴシック"/>
      <family val="3"/>
      <charset val="128"/>
    </font>
    <font>
      <sz val="6"/>
      <color indexed="12"/>
      <name val="HGｺﾞｼｯｸM"/>
      <family val="3"/>
      <charset val="128"/>
    </font>
    <font>
      <b/>
      <sz val="6"/>
      <name val="ＭＳ Ｐゴシック"/>
      <family val="3"/>
      <charset val="128"/>
    </font>
    <font>
      <sz val="6"/>
      <name val="HGPｺﾞｼｯｸE"/>
      <family val="3"/>
      <charset val="128"/>
    </font>
    <font>
      <sz val="6"/>
      <name val="ＨＧｺﾞｼｯｸE-PRO"/>
      <family val="3"/>
      <charset val="128"/>
    </font>
    <font>
      <i/>
      <sz val="6"/>
      <name val="HG丸ｺﾞｼｯｸM-PRO"/>
      <family val="3"/>
      <charset val="128"/>
    </font>
    <font>
      <i/>
      <sz val="6"/>
      <name val="HGP明朝E"/>
      <family val="1"/>
      <charset val="128"/>
    </font>
    <font>
      <sz val="8"/>
      <name val="ＭＳ Ｐゴシック"/>
      <family val="3"/>
      <charset val="128"/>
    </font>
    <font>
      <b/>
      <sz val="8"/>
      <name val="ＭＳ Ｐゴシック"/>
      <family val="3"/>
      <charset val="128"/>
    </font>
    <font>
      <sz val="6"/>
      <color indexed="23"/>
      <name val="ＭＳ Ｐゴシック"/>
      <family val="3"/>
      <charset val="128"/>
    </font>
    <font>
      <b/>
      <sz val="6"/>
      <color indexed="23"/>
      <name val="ＭＳ Ｐゴシック"/>
      <family val="3"/>
      <charset val="128"/>
    </font>
    <font>
      <sz val="6"/>
      <name val="HGSｺﾞｼｯｸM"/>
      <family val="3"/>
      <charset val="128"/>
    </font>
    <font>
      <sz val="6"/>
      <color indexed="12"/>
      <name val="HG丸ｺﾞｼｯｸM-PRO"/>
      <family val="3"/>
      <charset val="128"/>
    </font>
    <font>
      <sz val="6"/>
      <color indexed="81"/>
      <name val="ＭＳ Ｐゴシック"/>
      <family val="3"/>
      <charset val="128"/>
    </font>
    <font>
      <b/>
      <sz val="6"/>
      <color indexed="81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6"/>
      <color rgb="FF0000FF"/>
      <name val="ＭＳ Ｐゴシック"/>
      <family val="3"/>
      <charset val="128"/>
    </font>
    <font>
      <sz val="6"/>
      <color rgb="FFFF0000"/>
      <name val="ＭＳ Ｐゴシック"/>
      <family val="3"/>
      <charset val="128"/>
    </font>
    <font>
      <sz val="6"/>
      <name val="ＭＳ Ｐゴシック"/>
      <family val="3"/>
      <charset val="128"/>
      <scheme val="major"/>
    </font>
    <font>
      <b/>
      <sz val="6"/>
      <color rgb="FF000000"/>
      <name val="ＭＳ Ｐ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7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DashDot">
        <color indexed="64"/>
      </left>
      <right/>
      <top style="mediumDashDot">
        <color indexed="64"/>
      </top>
      <bottom/>
      <diagonal/>
    </border>
    <border>
      <left/>
      <right/>
      <top style="mediumDashDot">
        <color indexed="64"/>
      </top>
      <bottom/>
      <diagonal/>
    </border>
    <border>
      <left/>
      <right style="mediumDashDot">
        <color indexed="64"/>
      </right>
      <top style="mediumDashDot">
        <color indexed="64"/>
      </top>
      <bottom/>
      <diagonal/>
    </border>
    <border>
      <left style="mediumDashDot">
        <color indexed="64"/>
      </left>
      <right/>
      <top/>
      <bottom/>
      <diagonal/>
    </border>
    <border>
      <left/>
      <right style="mediumDashDot">
        <color indexed="64"/>
      </right>
      <top/>
      <bottom/>
      <diagonal/>
    </border>
    <border>
      <left style="mediumDashDot">
        <color indexed="64"/>
      </left>
      <right/>
      <top/>
      <bottom style="mediumDashDot">
        <color indexed="64"/>
      </bottom>
      <diagonal/>
    </border>
    <border>
      <left/>
      <right/>
      <top/>
      <bottom style="mediumDashDot">
        <color indexed="64"/>
      </bottom>
      <diagonal/>
    </border>
    <border>
      <left/>
      <right style="mediumDashDot">
        <color indexed="64"/>
      </right>
      <top/>
      <bottom style="mediumDashDot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3" tint="0.39982299264503923"/>
      </left>
      <right/>
      <top style="thin">
        <color theme="3" tint="0.39982299264503923"/>
      </top>
      <bottom/>
      <diagonal/>
    </border>
    <border>
      <left/>
      <right/>
      <top style="thin">
        <color theme="3" tint="0.39982299264503923"/>
      </top>
      <bottom/>
      <diagonal/>
    </border>
    <border>
      <left/>
      <right style="thin">
        <color theme="3" tint="0.39982299264503923"/>
      </right>
      <top style="thin">
        <color theme="3" tint="0.39982299264503923"/>
      </top>
      <bottom/>
      <diagonal/>
    </border>
    <border>
      <left style="thin">
        <color theme="3" tint="0.39982299264503923"/>
      </left>
      <right/>
      <top/>
      <bottom/>
      <diagonal/>
    </border>
    <border>
      <left/>
      <right style="thin">
        <color theme="3" tint="0.39982299264503923"/>
      </right>
      <top/>
      <bottom/>
      <diagonal/>
    </border>
    <border>
      <left style="thin">
        <color theme="3" tint="0.39982299264503923"/>
      </left>
      <right/>
      <top/>
      <bottom style="thin">
        <color theme="3" tint="0.39982299264503923"/>
      </bottom>
      <diagonal/>
    </border>
    <border>
      <left/>
      <right/>
      <top/>
      <bottom style="thin">
        <color theme="3" tint="0.39982299264503923"/>
      </bottom>
      <diagonal/>
    </border>
    <border>
      <left/>
      <right style="thin">
        <color theme="3" tint="0.39982299264503923"/>
      </right>
      <top/>
      <bottom style="thin">
        <color theme="3" tint="0.39982299264503923"/>
      </bottom>
      <diagonal/>
    </border>
    <border>
      <left/>
      <right style="thin">
        <color theme="3" tint="0.39979247413556324"/>
      </right>
      <top/>
      <bottom/>
      <diagonal/>
    </border>
    <border>
      <left style="thin">
        <color theme="3" tint="0.39979247413556324"/>
      </left>
      <right/>
      <top style="thin">
        <color theme="3" tint="0.39979247413556324"/>
      </top>
      <bottom/>
      <diagonal/>
    </border>
    <border>
      <left/>
      <right/>
      <top style="thin">
        <color theme="3" tint="0.39979247413556324"/>
      </top>
      <bottom/>
      <diagonal/>
    </border>
    <border>
      <left/>
      <right style="thin">
        <color theme="3" tint="0.39979247413556324"/>
      </right>
      <top style="thin">
        <color theme="3" tint="0.39979247413556324"/>
      </top>
      <bottom/>
      <diagonal/>
    </border>
    <border>
      <left style="thin">
        <color theme="3" tint="0.3997924741355632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theme="3" tint="0.59999389629810485"/>
      </left>
      <right/>
      <top/>
      <bottom/>
      <diagonal/>
    </border>
    <border>
      <left/>
      <right/>
      <top style="thin">
        <color theme="3" tint="0.59999389629810485"/>
      </top>
      <bottom/>
      <diagonal/>
    </border>
    <border>
      <left/>
      <right/>
      <top/>
      <bottom style="thin">
        <color theme="3" tint="0.59999389629810485"/>
      </bottom>
      <diagonal/>
    </border>
    <border>
      <left style="thin">
        <color theme="3" tint="0.39979247413556324"/>
      </left>
      <right style="thin">
        <color theme="3" tint="0.59999389629810485"/>
      </right>
      <top/>
      <bottom/>
      <diagonal/>
    </border>
    <border>
      <left/>
      <right style="thin">
        <color theme="3" tint="0.59999389629810485"/>
      </right>
      <top/>
      <bottom/>
      <diagonal/>
    </border>
    <border>
      <left/>
      <right style="thin">
        <color theme="3" tint="0.59999389629810485"/>
      </right>
      <top/>
      <bottom style="thin">
        <color theme="3" tint="0.59999389629810485"/>
      </bottom>
      <diagonal/>
    </border>
    <border>
      <left/>
      <right style="thin">
        <color theme="3" tint="0.59999389629810485"/>
      </right>
      <top style="thin">
        <color theme="3" tint="0.59999389629810485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63">
    <xf numFmtId="0" fontId="0" fillId="0" borderId="0" xfId="0"/>
    <xf numFmtId="0" fontId="3" fillId="0" borderId="0" xfId="0" applyFont="1" applyBorder="1" applyAlignment="1" applyProtection="1">
      <alignment vertical="center"/>
      <protection hidden="1"/>
    </xf>
    <xf numFmtId="0" fontId="4" fillId="0" borderId="0" xfId="0" applyFont="1" applyBorder="1" applyAlignment="1" applyProtection="1">
      <alignment vertical="center"/>
      <protection hidden="1"/>
    </xf>
    <xf numFmtId="0" fontId="2" fillId="0" borderId="0" xfId="0" applyFont="1" applyFill="1" applyProtection="1">
      <protection hidden="1"/>
    </xf>
    <xf numFmtId="0" fontId="19" fillId="0" borderId="0" xfId="0" applyFont="1" applyFill="1" applyBorder="1" applyAlignment="1" applyProtection="1">
      <alignment vertical="center"/>
      <protection hidden="1"/>
    </xf>
    <xf numFmtId="0" fontId="2" fillId="0" borderId="0" xfId="0" applyFont="1" applyBorder="1" applyProtection="1">
      <protection hidden="1"/>
    </xf>
    <xf numFmtId="0" fontId="2" fillId="0" borderId="0" xfId="0" applyFont="1" applyProtection="1">
      <protection hidden="1"/>
    </xf>
    <xf numFmtId="0" fontId="2" fillId="0" borderId="0" xfId="0" applyFont="1" applyAlignment="1" applyProtection="1">
      <alignment horizontal="center"/>
      <protection hidden="1"/>
    </xf>
    <xf numFmtId="0" fontId="5" fillId="0" borderId="0" xfId="0" applyFont="1" applyFill="1" applyBorder="1" applyAlignment="1" applyProtection="1">
      <alignment vertical="center"/>
      <protection hidden="1"/>
    </xf>
    <xf numFmtId="0" fontId="4" fillId="0" borderId="0" xfId="0" applyFont="1" applyBorder="1" applyAlignment="1" applyProtection="1">
      <alignment horizontal="center" vertical="center"/>
      <protection hidden="1"/>
    </xf>
    <xf numFmtId="177" fontId="6" fillId="0" borderId="0" xfId="0" applyNumberFormat="1" applyFont="1" applyBorder="1" applyProtection="1">
      <protection hidden="1"/>
    </xf>
    <xf numFmtId="0" fontId="2" fillId="0" borderId="0" xfId="0" applyFont="1" applyAlignment="1" applyProtection="1">
      <alignment horizontal="right"/>
      <protection hidden="1"/>
    </xf>
    <xf numFmtId="0" fontId="6" fillId="0" borderId="0" xfId="0" applyFont="1" applyProtection="1">
      <protection hidden="1"/>
    </xf>
    <xf numFmtId="0" fontId="6" fillId="0" borderId="0" xfId="0" applyFont="1" applyFill="1" applyProtection="1">
      <protection hidden="1"/>
    </xf>
    <xf numFmtId="0" fontId="4" fillId="0" borderId="0" xfId="0" applyFont="1" applyFill="1" applyBorder="1" applyAlignment="1" applyProtection="1">
      <alignment vertical="center" wrapText="1"/>
      <protection hidden="1"/>
    </xf>
    <xf numFmtId="0" fontId="2" fillId="0" borderId="1" xfId="0" applyFont="1" applyBorder="1" applyProtection="1">
      <protection hidden="1"/>
    </xf>
    <xf numFmtId="0" fontId="5" fillId="0" borderId="0" xfId="0" applyFont="1" applyFill="1" applyBorder="1" applyAlignment="1" applyProtection="1">
      <alignment horizontal="center" vertical="center"/>
      <protection hidden="1"/>
    </xf>
    <xf numFmtId="0" fontId="2" fillId="0" borderId="1" xfId="0" applyFont="1" applyBorder="1" applyAlignment="1" applyProtection="1">
      <alignment horizontal="center" vertical="center"/>
      <protection hidden="1"/>
    </xf>
    <xf numFmtId="0" fontId="6" fillId="0" borderId="0" xfId="0" applyFont="1" applyAlignment="1" applyProtection="1">
      <alignment horizontal="center"/>
      <protection hidden="1"/>
    </xf>
    <xf numFmtId="0" fontId="6" fillId="0" borderId="0" xfId="0" applyFont="1" applyAlignment="1" applyProtection="1">
      <alignment horizontal="right" vertical="center"/>
      <protection hidden="1"/>
    </xf>
    <xf numFmtId="0" fontId="8" fillId="0" borderId="0" xfId="0" applyFont="1" applyFill="1" applyBorder="1" applyAlignment="1" applyProtection="1">
      <alignment horizontal="center" vertical="center"/>
      <protection locked="0" hidden="1"/>
    </xf>
    <xf numFmtId="0" fontId="6" fillId="0" borderId="0" xfId="0" applyFont="1" applyBorder="1" applyAlignment="1" applyProtection="1">
      <alignment horizontal="left" wrapText="1"/>
      <protection hidden="1"/>
    </xf>
    <xf numFmtId="0" fontId="20" fillId="2" borderId="1" xfId="0" applyFont="1" applyFill="1" applyBorder="1" applyAlignment="1" applyProtection="1">
      <alignment vertical="center" wrapText="1"/>
      <protection locked="0" hidden="1"/>
    </xf>
    <xf numFmtId="0" fontId="6" fillId="0" borderId="0" xfId="0" applyFont="1" applyFill="1" applyBorder="1" applyAlignment="1" applyProtection="1">
      <alignment vertical="center" wrapText="1"/>
      <protection hidden="1"/>
    </xf>
    <xf numFmtId="0" fontId="6" fillId="0" borderId="0" xfId="0" applyFont="1" applyAlignment="1" applyProtection="1">
      <alignment horizontal="left"/>
      <protection hidden="1"/>
    </xf>
    <xf numFmtId="0" fontId="6" fillId="0" borderId="0" xfId="0" applyFont="1" applyFill="1" applyBorder="1" applyAlignment="1" applyProtection="1">
      <alignment horizontal="center" vertical="center" wrapText="1"/>
      <protection hidden="1"/>
    </xf>
    <xf numFmtId="0" fontId="4" fillId="0" borderId="0" xfId="0" applyFont="1" applyBorder="1" applyAlignment="1" applyProtection="1">
      <alignment horizontal="center" vertical="center" wrapText="1"/>
      <protection hidden="1"/>
    </xf>
    <xf numFmtId="0" fontId="2" fillId="0" borderId="0" xfId="0" applyFont="1" applyAlignment="1" applyProtection="1">
      <protection hidden="1"/>
    </xf>
    <xf numFmtId="0" fontId="6" fillId="0" borderId="0" xfId="0" applyFont="1" applyFill="1" applyBorder="1" applyAlignment="1" applyProtection="1">
      <alignment horizontal="left" wrapText="1"/>
      <protection hidden="1"/>
    </xf>
    <xf numFmtId="0" fontId="6" fillId="0" borderId="0" xfId="0" applyFont="1" applyFill="1" applyBorder="1" applyProtection="1">
      <protection hidden="1"/>
    </xf>
    <xf numFmtId="0" fontId="2" fillId="0" borderId="0" xfId="0" applyFont="1" applyAlignment="1" applyProtection="1">
      <alignment vertical="center"/>
      <protection hidden="1"/>
    </xf>
    <xf numFmtId="0" fontId="4" fillId="0" borderId="2" xfId="0" applyFont="1" applyFill="1" applyBorder="1" applyAlignment="1" applyProtection="1">
      <alignment horizontal="center" vertical="center"/>
      <protection hidden="1"/>
    </xf>
    <xf numFmtId="0" fontId="4" fillId="0" borderId="0" xfId="0" applyFont="1" applyFill="1" applyBorder="1" applyAlignment="1" applyProtection="1">
      <alignment horizontal="center" vertical="center"/>
      <protection hidden="1"/>
    </xf>
    <xf numFmtId="38" fontId="2" fillId="0" borderId="0" xfId="1" applyFont="1" applyBorder="1" applyAlignment="1" applyProtection="1">
      <alignment horizontal="center" vertical="center"/>
      <protection hidden="1"/>
    </xf>
    <xf numFmtId="38" fontId="2" fillId="0" borderId="0" xfId="1" applyFont="1" applyBorder="1" applyAlignment="1" applyProtection="1">
      <alignment horizontal="right" vertical="center"/>
      <protection hidden="1"/>
    </xf>
    <xf numFmtId="0" fontId="2" fillId="0" borderId="0" xfId="0" applyFont="1" applyFill="1" applyBorder="1" applyProtection="1">
      <protection hidden="1"/>
    </xf>
    <xf numFmtId="0" fontId="14" fillId="0" borderId="0" xfId="0" applyFont="1" applyFill="1" applyBorder="1" applyAlignment="1" applyProtection="1">
      <alignment horizontal="left"/>
      <protection hidden="1"/>
    </xf>
    <xf numFmtId="0" fontId="17" fillId="0" borderId="0" xfId="0" applyFont="1" applyFill="1" applyBorder="1" applyAlignment="1" applyProtection="1">
      <alignment vertical="center"/>
      <protection hidden="1"/>
    </xf>
    <xf numFmtId="0" fontId="10" fillId="0" borderId="3" xfId="0" applyFont="1" applyBorder="1" applyAlignment="1" applyProtection="1">
      <alignment horizontal="left" vertical="center" wrapText="1"/>
      <protection hidden="1"/>
    </xf>
    <xf numFmtId="0" fontId="6" fillId="0" borderId="0" xfId="0" applyFont="1" applyFill="1" applyBorder="1" applyAlignment="1" applyProtection="1">
      <alignment horizontal="center" vertical="center"/>
      <protection hidden="1"/>
    </xf>
    <xf numFmtId="38" fontId="2" fillId="0" borderId="0" xfId="0" applyNumberFormat="1" applyFont="1" applyFill="1" applyBorder="1" applyAlignment="1" applyProtection="1">
      <alignment horizontal="right" vertical="center"/>
      <protection hidden="1"/>
    </xf>
    <xf numFmtId="0" fontId="2" fillId="0" borderId="0" xfId="0" applyFont="1" applyFill="1" applyBorder="1" applyAlignment="1" applyProtection="1">
      <alignment horizontal="right" vertical="center"/>
      <protection hidden="1"/>
    </xf>
    <xf numFmtId="0" fontId="6" fillId="0" borderId="3" xfId="0" applyFont="1" applyFill="1" applyBorder="1" applyAlignment="1" applyProtection="1">
      <alignment horizontal="center" vertical="center"/>
      <protection hidden="1"/>
    </xf>
    <xf numFmtId="38" fontId="2" fillId="0" borderId="3" xfId="0" applyNumberFormat="1" applyFont="1" applyFill="1" applyBorder="1" applyAlignment="1" applyProtection="1">
      <alignment horizontal="right" vertical="center"/>
      <protection hidden="1"/>
    </xf>
    <xf numFmtId="0" fontId="2" fillId="0" borderId="3" xfId="0" applyFont="1" applyFill="1" applyBorder="1" applyAlignment="1" applyProtection="1">
      <alignment horizontal="right" vertical="center"/>
      <protection hidden="1"/>
    </xf>
    <xf numFmtId="0" fontId="18" fillId="0" borderId="4" xfId="0" applyFont="1" applyFill="1" applyBorder="1" applyAlignment="1" applyProtection="1">
      <alignment horizontal="center" vertical="center"/>
      <protection hidden="1"/>
    </xf>
    <xf numFmtId="0" fontId="18" fillId="0" borderId="0" xfId="0" applyFont="1" applyFill="1" applyBorder="1" applyAlignment="1" applyProtection="1">
      <alignment horizontal="center" vertical="center"/>
      <protection hidden="1"/>
    </xf>
    <xf numFmtId="0" fontId="15" fillId="0" borderId="0" xfId="0" applyFont="1" applyProtection="1">
      <protection hidden="1"/>
    </xf>
    <xf numFmtId="0" fontId="16" fillId="0" borderId="0" xfId="0" applyFont="1" applyProtection="1">
      <protection hidden="1"/>
    </xf>
    <xf numFmtId="0" fontId="6" fillId="0" borderId="0" xfId="0" applyFont="1" applyFill="1" applyBorder="1" applyAlignment="1" applyProtection="1">
      <alignment horizontal="center"/>
      <protection hidden="1"/>
    </xf>
    <xf numFmtId="0" fontId="6" fillId="0" borderId="0" xfId="0" applyFont="1" applyBorder="1" applyAlignment="1" applyProtection="1">
      <alignment horizontal="center"/>
      <protection hidden="1"/>
    </xf>
    <xf numFmtId="0" fontId="13" fillId="0" borderId="0" xfId="0" applyFont="1" applyFill="1" applyBorder="1" applyAlignment="1" applyProtection="1">
      <alignment horizontal="center"/>
      <protection hidden="1"/>
    </xf>
    <xf numFmtId="38" fontId="13" fillId="0" borderId="0" xfId="1" applyFont="1" applyFill="1" applyBorder="1" applyAlignment="1" applyProtection="1">
      <protection hidden="1"/>
    </xf>
    <xf numFmtId="38" fontId="6" fillId="0" borderId="0" xfId="1" applyFont="1" applyFill="1" applyBorder="1" applyAlignment="1" applyProtection="1">
      <alignment horizontal="center"/>
      <protection hidden="1"/>
    </xf>
    <xf numFmtId="0" fontId="6" fillId="0" borderId="0" xfId="0" applyFont="1" applyFill="1" applyBorder="1" applyAlignment="1" applyProtection="1">
      <alignment horizontal="left" vertical="top"/>
      <protection hidden="1"/>
    </xf>
    <xf numFmtId="0" fontId="14" fillId="0" borderId="0" xfId="0" applyFont="1" applyFill="1" applyBorder="1" applyAlignment="1" applyProtection="1">
      <alignment horizontal="center"/>
      <protection hidden="1"/>
    </xf>
    <xf numFmtId="0" fontId="14" fillId="0" borderId="0" xfId="0" applyFont="1" applyFill="1" applyBorder="1" applyProtection="1">
      <protection hidden="1"/>
    </xf>
    <xf numFmtId="0" fontId="13" fillId="0" borderId="0" xfId="0" applyFont="1" applyFill="1" applyBorder="1" applyAlignment="1" applyProtection="1">
      <alignment horizontal="left"/>
      <protection hidden="1"/>
    </xf>
    <xf numFmtId="3" fontId="14" fillId="0" borderId="0" xfId="0" applyNumberFormat="1" applyFont="1" applyFill="1" applyBorder="1" applyAlignment="1" applyProtection="1">
      <alignment horizontal="left"/>
      <protection hidden="1"/>
    </xf>
    <xf numFmtId="49" fontId="14" fillId="0" borderId="0" xfId="1" applyNumberFormat="1" applyFont="1" applyFill="1" applyBorder="1" applyAlignment="1" applyProtection="1">
      <alignment horizontal="right"/>
      <protection hidden="1"/>
    </xf>
    <xf numFmtId="38" fontId="14" fillId="0" borderId="0" xfId="1" applyFont="1" applyFill="1" applyBorder="1" applyAlignment="1" applyProtection="1">
      <alignment horizontal="left"/>
      <protection hidden="1"/>
    </xf>
    <xf numFmtId="176" fontId="12" fillId="0" borderId="0" xfId="0" applyNumberFormat="1" applyFont="1" applyFill="1" applyBorder="1" applyAlignment="1" applyProtection="1">
      <alignment horizontal="right"/>
      <protection hidden="1"/>
    </xf>
    <xf numFmtId="38" fontId="2" fillId="0" borderId="1" xfId="1" applyFont="1" applyBorder="1" applyProtection="1">
      <protection hidden="1"/>
    </xf>
    <xf numFmtId="0" fontId="14" fillId="0" borderId="0" xfId="0" applyFont="1" applyFill="1" applyBorder="1" applyAlignment="1" applyProtection="1">
      <alignment horizontal="right"/>
      <protection hidden="1"/>
    </xf>
    <xf numFmtId="38" fontId="2" fillId="0" borderId="1" xfId="0" applyNumberFormat="1" applyFont="1" applyBorder="1" applyProtection="1">
      <protection hidden="1"/>
    </xf>
    <xf numFmtId="0" fontId="20" fillId="2" borderId="1" xfId="0" applyFont="1" applyFill="1" applyBorder="1" applyAlignment="1" applyProtection="1">
      <alignment horizontal="center" vertical="center"/>
      <protection locked="0" hidden="1"/>
    </xf>
    <xf numFmtId="0" fontId="2" fillId="3" borderId="0" xfId="0" applyFont="1" applyFill="1" applyBorder="1" applyProtection="1">
      <protection hidden="1"/>
    </xf>
    <xf numFmtId="0" fontId="11" fillId="3" borderId="0" xfId="0" applyFont="1" applyFill="1" applyBorder="1" applyAlignment="1" applyProtection="1">
      <protection hidden="1"/>
    </xf>
    <xf numFmtId="38" fontId="15" fillId="0" borderId="0" xfId="1" applyFont="1" applyProtection="1">
      <protection hidden="1"/>
    </xf>
    <xf numFmtId="0" fontId="2" fillId="0" borderId="0" xfId="0" applyFont="1" applyBorder="1" applyAlignment="1" applyProtection="1">
      <alignment horizontal="center"/>
      <protection hidden="1"/>
    </xf>
    <xf numFmtId="0" fontId="2" fillId="0" borderId="0" xfId="0" applyFont="1" applyBorder="1" applyAlignment="1" applyProtection="1">
      <protection hidden="1"/>
    </xf>
    <xf numFmtId="0" fontId="2" fillId="0" borderId="0" xfId="0" applyFont="1" applyBorder="1" applyAlignment="1" applyProtection="1">
      <alignment horizontal="center" vertical="center"/>
      <protection hidden="1"/>
    </xf>
    <xf numFmtId="0" fontId="2" fillId="0" borderId="5" xfId="0" applyFont="1" applyBorder="1" applyProtection="1">
      <protection hidden="1"/>
    </xf>
    <xf numFmtId="0" fontId="2" fillId="0" borderId="6" xfId="0" applyFont="1" applyBorder="1" applyProtection="1">
      <protection hidden="1"/>
    </xf>
    <xf numFmtId="0" fontId="2" fillId="0" borderId="7" xfId="0" applyFont="1" applyBorder="1" applyProtection="1">
      <protection hidden="1"/>
    </xf>
    <xf numFmtId="0" fontId="2" fillId="0" borderId="8" xfId="0" applyFont="1" applyBorder="1" applyProtection="1">
      <protection hidden="1"/>
    </xf>
    <xf numFmtId="0" fontId="2" fillId="0" borderId="9" xfId="0" applyFont="1" applyBorder="1" applyProtection="1">
      <protection hidden="1"/>
    </xf>
    <xf numFmtId="0" fontId="2" fillId="0" borderId="8" xfId="0" applyFont="1" applyBorder="1" applyAlignment="1" applyProtection="1">
      <alignment vertical="center"/>
      <protection hidden="1"/>
    </xf>
    <xf numFmtId="0" fontId="2" fillId="0" borderId="8" xfId="0" applyFont="1" applyFill="1" applyBorder="1" applyProtection="1">
      <protection hidden="1"/>
    </xf>
    <xf numFmtId="0" fontId="15" fillId="0" borderId="8" xfId="0" applyFont="1" applyBorder="1" applyProtection="1">
      <protection hidden="1"/>
    </xf>
    <xf numFmtId="0" fontId="2" fillId="0" borderId="9" xfId="0" applyFont="1" applyBorder="1" applyAlignment="1" applyProtection="1">
      <alignment vertical="center"/>
      <protection hidden="1"/>
    </xf>
    <xf numFmtId="0" fontId="2" fillId="0" borderId="0" xfId="0" applyFont="1" applyBorder="1" applyAlignment="1" applyProtection="1">
      <alignment vertical="center"/>
      <protection hidden="1"/>
    </xf>
    <xf numFmtId="0" fontId="2" fillId="0" borderId="9" xfId="0" applyFont="1" applyFill="1" applyBorder="1" applyProtection="1">
      <protection hidden="1"/>
    </xf>
    <xf numFmtId="38" fontId="2" fillId="0" borderId="0" xfId="1" applyFont="1" applyBorder="1" applyProtection="1">
      <protection hidden="1"/>
    </xf>
    <xf numFmtId="38" fontId="2" fillId="0" borderId="0" xfId="1" applyFont="1" applyFill="1" applyBorder="1" applyProtection="1">
      <protection hidden="1"/>
    </xf>
    <xf numFmtId="0" fontId="15" fillId="0" borderId="0" xfId="0" applyFont="1" applyBorder="1" applyProtection="1">
      <protection hidden="1"/>
    </xf>
    <xf numFmtId="0" fontId="2" fillId="0" borderId="10" xfId="0" applyFont="1" applyBorder="1" applyProtection="1">
      <protection hidden="1"/>
    </xf>
    <xf numFmtId="0" fontId="2" fillId="0" borderId="11" xfId="0" applyFont="1" applyBorder="1" applyProtection="1">
      <protection hidden="1"/>
    </xf>
    <xf numFmtId="0" fontId="2" fillId="0" borderId="12" xfId="0" applyFont="1" applyBorder="1" applyProtection="1">
      <protection hidden="1"/>
    </xf>
    <xf numFmtId="0" fontId="2" fillId="0" borderId="0" xfId="0" applyFont="1" applyBorder="1" applyAlignment="1" applyProtection="1">
      <alignment horizontal="center" wrapText="1"/>
      <protection hidden="1"/>
    </xf>
    <xf numFmtId="0" fontId="2" fillId="0" borderId="0" xfId="0" applyFont="1" applyBorder="1" applyAlignment="1" applyProtection="1">
      <alignment horizontal="right"/>
      <protection hidden="1"/>
    </xf>
    <xf numFmtId="0" fontId="2" fillId="0" borderId="13" xfId="0" applyFont="1" applyBorder="1" applyAlignment="1" applyProtection="1">
      <alignment horizontal="center" vertical="center"/>
      <protection hidden="1"/>
    </xf>
    <xf numFmtId="0" fontId="2" fillId="0" borderId="13" xfId="0" applyFont="1" applyBorder="1" applyProtection="1">
      <protection hidden="1"/>
    </xf>
    <xf numFmtId="0" fontId="2" fillId="0" borderId="14" xfId="0" applyFont="1" applyBorder="1" applyProtection="1">
      <protection hidden="1"/>
    </xf>
    <xf numFmtId="38" fontId="2" fillId="0" borderId="15" xfId="1" applyFont="1" applyBorder="1" applyProtection="1">
      <protection hidden="1"/>
    </xf>
    <xf numFmtId="38" fontId="2" fillId="0" borderId="16" xfId="1" applyFont="1" applyBorder="1" applyProtection="1">
      <protection hidden="1"/>
    </xf>
    <xf numFmtId="38" fontId="2" fillId="0" borderId="17" xfId="1" applyFont="1" applyBorder="1" applyProtection="1">
      <protection hidden="1"/>
    </xf>
    <xf numFmtId="38" fontId="2" fillId="0" borderId="18" xfId="1" applyFont="1" applyBorder="1" applyProtection="1">
      <protection hidden="1"/>
    </xf>
    <xf numFmtId="38" fontId="2" fillId="0" borderId="19" xfId="1" applyFont="1" applyBorder="1" applyProtection="1">
      <protection hidden="1"/>
    </xf>
    <xf numFmtId="38" fontId="2" fillId="0" borderId="20" xfId="1" applyFont="1" applyBorder="1" applyProtection="1">
      <protection hidden="1"/>
    </xf>
    <xf numFmtId="0" fontId="2" fillId="0" borderId="6" xfId="0" applyFont="1" applyBorder="1" applyAlignment="1" applyProtection="1">
      <alignment vertical="center"/>
      <protection hidden="1"/>
    </xf>
    <xf numFmtId="38" fontId="2" fillId="0" borderId="21" xfId="1" applyFont="1" applyBorder="1" applyProtection="1">
      <protection hidden="1"/>
    </xf>
    <xf numFmtId="38" fontId="2" fillId="0" borderId="22" xfId="1" applyFont="1" applyBorder="1" applyProtection="1">
      <protection hidden="1"/>
    </xf>
    <xf numFmtId="0" fontId="4" fillId="0" borderId="23" xfId="0" applyFont="1" applyFill="1" applyBorder="1" applyAlignment="1" applyProtection="1">
      <alignment horizontal="center" vertical="center"/>
      <protection hidden="1"/>
    </xf>
    <xf numFmtId="38" fontId="7" fillId="0" borderId="0" xfId="1" applyFont="1" applyFill="1" applyBorder="1" applyAlignment="1" applyProtection="1">
      <alignment horizontal="right" vertical="center"/>
      <protection locked="0" hidden="1"/>
    </xf>
    <xf numFmtId="0" fontId="6" fillId="0" borderId="0" xfId="0" applyFont="1" applyFill="1" applyBorder="1" applyAlignment="1" applyProtection="1">
      <alignment horizontal="right" vertical="center"/>
      <protection hidden="1"/>
    </xf>
    <xf numFmtId="0" fontId="24" fillId="0" borderId="0" xfId="0" applyFont="1" applyAlignment="1">
      <alignment horizontal="left" vertical="center" readingOrder="1"/>
    </xf>
    <xf numFmtId="0" fontId="6" fillId="0" borderId="23" xfId="0" applyFont="1" applyFill="1" applyBorder="1" applyAlignment="1" applyProtection="1">
      <alignment horizontal="center" vertical="center" wrapText="1"/>
      <protection hidden="1"/>
    </xf>
    <xf numFmtId="38" fontId="2" fillId="0" borderId="23" xfId="1" applyFont="1" applyBorder="1" applyAlignment="1" applyProtection="1">
      <alignment horizontal="center" vertical="center"/>
      <protection hidden="1"/>
    </xf>
    <xf numFmtId="38" fontId="2" fillId="0" borderId="23" xfId="1" applyFont="1" applyBorder="1" applyAlignment="1" applyProtection="1">
      <alignment horizontal="right" vertical="center"/>
      <protection hidden="1"/>
    </xf>
    <xf numFmtId="0" fontId="10" fillId="0" borderId="1" xfId="0" applyFont="1" applyFill="1" applyBorder="1" applyAlignment="1" applyProtection="1">
      <alignment horizontal="center" vertical="center"/>
      <protection hidden="1"/>
    </xf>
    <xf numFmtId="38" fontId="25" fillId="0" borderId="24" xfId="1" applyFont="1" applyBorder="1" applyAlignment="1" applyProtection="1">
      <alignment vertical="center"/>
      <protection hidden="1"/>
    </xf>
    <xf numFmtId="0" fontId="16" fillId="3" borderId="0" xfId="0" applyFont="1" applyFill="1" applyBorder="1" applyAlignment="1" applyProtection="1">
      <alignment horizontal="left"/>
      <protection hidden="1"/>
    </xf>
    <xf numFmtId="38" fontId="23" fillId="3" borderId="0" xfId="1" applyFont="1" applyFill="1" applyBorder="1" applyAlignment="1" applyProtection="1">
      <alignment vertical="center"/>
      <protection hidden="1"/>
    </xf>
    <xf numFmtId="40" fontId="23" fillId="3" borderId="0" xfId="1" applyNumberFormat="1" applyFont="1" applyFill="1" applyBorder="1" applyAlignment="1" applyProtection="1">
      <alignment vertical="center"/>
      <protection hidden="1"/>
    </xf>
    <xf numFmtId="0" fontId="10" fillId="0" borderId="0" xfId="0" applyFont="1" applyBorder="1" applyAlignment="1" applyProtection="1">
      <alignment horizontal="center" vertical="center"/>
      <protection hidden="1"/>
    </xf>
    <xf numFmtId="0" fontId="10" fillId="0" borderId="0" xfId="0" applyFont="1" applyFill="1" applyBorder="1" applyAlignment="1" applyProtection="1">
      <alignment horizontal="center" vertical="center"/>
      <protection hidden="1"/>
    </xf>
    <xf numFmtId="38" fontId="10" fillId="0" borderId="0" xfId="0" applyNumberFormat="1" applyFont="1" applyFill="1" applyBorder="1" applyAlignment="1" applyProtection="1">
      <alignment horizontal="center" vertical="center"/>
      <protection hidden="1"/>
    </xf>
    <xf numFmtId="0" fontId="13" fillId="0" borderId="0" xfId="0" applyFont="1" applyFill="1" applyBorder="1" applyAlignment="1" applyProtection="1">
      <alignment horizontal="right"/>
      <protection hidden="1"/>
    </xf>
    <xf numFmtId="0" fontId="2" fillId="0" borderId="0" xfId="0" applyFont="1" applyFill="1" applyBorder="1" applyAlignment="1" applyProtection="1">
      <protection hidden="1"/>
    </xf>
    <xf numFmtId="0" fontId="16" fillId="0" borderId="0" xfId="0" applyFont="1" applyFill="1" applyBorder="1" applyAlignment="1" applyProtection="1">
      <alignment vertical="center"/>
      <protection hidden="1"/>
    </xf>
    <xf numFmtId="0" fontId="16" fillId="0" borderId="0" xfId="0" applyFont="1" applyFill="1" applyBorder="1" applyProtection="1">
      <protection hidden="1"/>
    </xf>
    <xf numFmtId="0" fontId="15" fillId="0" borderId="0" xfId="0" applyFont="1" applyFill="1" applyBorder="1" applyProtection="1">
      <protection hidden="1"/>
    </xf>
    <xf numFmtId="38" fontId="16" fillId="0" borderId="0" xfId="0" applyNumberFormat="1" applyFont="1" applyFill="1" applyBorder="1" applyAlignment="1" applyProtection="1">
      <alignment vertical="center"/>
      <protection hidden="1"/>
    </xf>
    <xf numFmtId="38" fontId="16" fillId="0" borderId="0" xfId="0" applyNumberFormat="1" applyFont="1" applyFill="1" applyBorder="1" applyAlignment="1" applyProtection="1">
      <alignment horizontal="distributed" vertical="center"/>
      <protection hidden="1"/>
    </xf>
    <xf numFmtId="176" fontId="16" fillId="0" borderId="0" xfId="0" applyNumberFormat="1" applyFont="1" applyFill="1" applyBorder="1" applyAlignment="1" applyProtection="1">
      <alignment horizontal="center"/>
      <protection hidden="1"/>
    </xf>
    <xf numFmtId="0" fontId="16" fillId="0" borderId="0" xfId="0" applyFont="1" applyFill="1" applyBorder="1" applyAlignment="1" applyProtection="1">
      <alignment horizontal="center"/>
      <protection hidden="1"/>
    </xf>
    <xf numFmtId="38" fontId="23" fillId="0" borderId="0" xfId="1" applyFont="1" applyFill="1" applyBorder="1" applyAlignment="1" applyProtection="1">
      <alignment vertical="center"/>
      <protection hidden="1"/>
    </xf>
    <xf numFmtId="176" fontId="10" fillId="0" borderId="0" xfId="0" applyNumberFormat="1" applyFont="1" applyFill="1" applyBorder="1" applyAlignment="1" applyProtection="1">
      <alignment horizontal="center"/>
      <protection hidden="1"/>
    </xf>
    <xf numFmtId="40" fontId="23" fillId="0" borderId="0" xfId="1" applyNumberFormat="1" applyFont="1" applyFill="1" applyBorder="1" applyAlignment="1" applyProtection="1">
      <alignment vertical="center"/>
      <protection hidden="1"/>
    </xf>
    <xf numFmtId="0" fontId="11" fillId="0" borderId="0" xfId="0" applyFont="1" applyFill="1" applyBorder="1" applyAlignment="1" applyProtection="1">
      <protection hidden="1"/>
    </xf>
    <xf numFmtId="0" fontId="6" fillId="0" borderId="0" xfId="0" applyFont="1" applyFill="1" applyAlignment="1" applyProtection="1">
      <protection hidden="1"/>
    </xf>
    <xf numFmtId="0" fontId="4" fillId="0" borderId="0" xfId="0" applyFont="1" applyFill="1" applyBorder="1" applyAlignment="1" applyProtection="1">
      <alignment horizontal="right" vertical="center" wrapText="1"/>
      <protection locked="0" hidden="1"/>
    </xf>
    <xf numFmtId="0" fontId="2" fillId="0" borderId="25" xfId="0" applyFont="1" applyBorder="1" applyProtection="1">
      <protection hidden="1"/>
    </xf>
    <xf numFmtId="38" fontId="4" fillId="0" borderId="0" xfId="1" applyFont="1" applyFill="1" applyBorder="1" applyAlignment="1" applyProtection="1">
      <alignment horizontal="right" vertical="center" wrapText="1"/>
      <protection locked="0" hidden="1"/>
    </xf>
    <xf numFmtId="0" fontId="2" fillId="0" borderId="26" xfId="0" applyFont="1" applyBorder="1" applyAlignment="1" applyProtection="1">
      <alignment vertical="center"/>
      <protection hidden="1"/>
    </xf>
    <xf numFmtId="0" fontId="2" fillId="0" borderId="29" xfId="0" applyFont="1" applyBorder="1" applyAlignment="1" applyProtection="1">
      <alignment vertical="center"/>
      <protection hidden="1"/>
    </xf>
    <xf numFmtId="38" fontId="2" fillId="0" borderId="29" xfId="1" applyFont="1" applyBorder="1" applyAlignment="1" applyProtection="1">
      <alignment vertical="center"/>
      <protection hidden="1"/>
    </xf>
    <xf numFmtId="38" fontId="2" fillId="0" borderId="31" xfId="1" applyFont="1" applyBorder="1" applyAlignment="1" applyProtection="1">
      <alignment vertical="center"/>
      <protection hidden="1"/>
    </xf>
    <xf numFmtId="0" fontId="2" fillId="0" borderId="34" xfId="0" applyFont="1" applyBorder="1" applyAlignment="1" applyProtection="1">
      <alignment horizontal="center" vertical="center"/>
      <protection hidden="1"/>
    </xf>
    <xf numFmtId="178" fontId="2" fillId="0" borderId="35" xfId="1" applyNumberFormat="1" applyFont="1" applyBorder="1" applyAlignment="1" applyProtection="1">
      <alignment horizontal="right" vertical="center"/>
      <protection hidden="1"/>
    </xf>
    <xf numFmtId="0" fontId="2" fillId="0" borderId="60" xfId="0" applyFont="1" applyBorder="1" applyAlignment="1" applyProtection="1">
      <alignment vertical="center"/>
      <protection hidden="1"/>
    </xf>
    <xf numFmtId="0" fontId="2" fillId="0" borderId="45" xfId="0" applyFont="1" applyBorder="1" applyAlignment="1" applyProtection="1">
      <alignment vertical="center"/>
      <protection hidden="1"/>
    </xf>
    <xf numFmtId="38" fontId="2" fillId="0" borderId="45" xfId="1" applyFont="1" applyBorder="1" applyAlignment="1" applyProtection="1">
      <alignment vertical="center"/>
      <protection hidden="1"/>
    </xf>
    <xf numFmtId="38" fontId="2" fillId="0" borderId="61" xfId="1" applyFont="1" applyBorder="1" applyAlignment="1" applyProtection="1">
      <alignment vertical="center"/>
      <protection hidden="1"/>
    </xf>
    <xf numFmtId="0" fontId="2" fillId="0" borderId="62" xfId="0" applyFont="1" applyBorder="1" applyAlignment="1" applyProtection="1">
      <alignment vertical="center"/>
      <protection hidden="1"/>
    </xf>
    <xf numFmtId="0" fontId="2" fillId="0" borderId="63" xfId="0" applyFont="1" applyBorder="1" applyAlignment="1" applyProtection="1">
      <alignment vertical="center"/>
      <protection hidden="1"/>
    </xf>
    <xf numFmtId="38" fontId="2" fillId="0" borderId="63" xfId="1" applyFont="1" applyBorder="1" applyAlignment="1" applyProtection="1">
      <alignment vertical="center"/>
      <protection hidden="1"/>
    </xf>
    <xf numFmtId="38" fontId="2" fillId="0" borderId="64" xfId="1" applyFont="1" applyBorder="1" applyAlignment="1" applyProtection="1">
      <alignment vertical="center"/>
      <protection hidden="1"/>
    </xf>
    <xf numFmtId="0" fontId="2" fillId="0" borderId="64" xfId="0" applyFont="1" applyBorder="1" applyAlignment="1" applyProtection="1">
      <alignment vertical="center"/>
      <protection hidden="1"/>
    </xf>
    <xf numFmtId="0" fontId="25" fillId="0" borderId="0" xfId="0" applyFont="1" applyBorder="1" applyAlignment="1" applyProtection="1">
      <alignment horizontal="center" vertical="center"/>
      <protection hidden="1"/>
    </xf>
    <xf numFmtId="38" fontId="2" fillId="0" borderId="0" xfId="0" applyNumberFormat="1" applyFont="1" applyBorder="1" applyProtection="1">
      <protection hidden="1"/>
    </xf>
    <xf numFmtId="0" fontId="10" fillId="0" borderId="0" xfId="0" applyFont="1" applyFill="1" applyBorder="1" applyProtection="1">
      <protection hidden="1"/>
    </xf>
    <xf numFmtId="0" fontId="16" fillId="0" borderId="65" xfId="0" applyFont="1" applyFill="1" applyBorder="1" applyAlignment="1" applyProtection="1">
      <alignment vertical="center"/>
      <protection hidden="1"/>
    </xf>
    <xf numFmtId="38" fontId="16" fillId="0" borderId="65" xfId="1" applyNumberFormat="1" applyFont="1" applyFill="1" applyBorder="1" applyAlignment="1" applyProtection="1">
      <protection hidden="1"/>
    </xf>
    <xf numFmtId="0" fontId="16" fillId="0" borderId="65" xfId="0" applyFont="1" applyFill="1" applyBorder="1" applyAlignment="1" applyProtection="1">
      <alignment horizontal="left"/>
      <protection hidden="1"/>
    </xf>
    <xf numFmtId="38" fontId="13" fillId="0" borderId="66" xfId="1" applyFont="1" applyFill="1" applyBorder="1" applyAlignment="1" applyProtection="1">
      <protection hidden="1"/>
    </xf>
    <xf numFmtId="0" fontId="16" fillId="0" borderId="66" xfId="0" applyFont="1" applyFill="1" applyBorder="1" applyProtection="1">
      <protection hidden="1"/>
    </xf>
    <xf numFmtId="0" fontId="2" fillId="0" borderId="67" xfId="0" applyFont="1" applyFill="1" applyBorder="1" applyProtection="1">
      <protection hidden="1"/>
    </xf>
    <xf numFmtId="0" fontId="2" fillId="0" borderId="68" xfId="0" applyFont="1" applyFill="1" applyBorder="1" applyProtection="1">
      <protection hidden="1"/>
    </xf>
    <xf numFmtId="0" fontId="15" fillId="0" borderId="68" xfId="0" applyFont="1" applyFill="1" applyBorder="1" applyProtection="1">
      <protection hidden="1"/>
    </xf>
    <xf numFmtId="38" fontId="10" fillId="0" borderId="67" xfId="0" applyNumberFormat="1" applyFont="1" applyFill="1" applyBorder="1" applyAlignment="1" applyProtection="1">
      <alignment horizontal="center" vertical="center"/>
      <protection hidden="1"/>
    </xf>
    <xf numFmtId="0" fontId="18" fillId="0" borderId="67" xfId="0" applyFont="1" applyFill="1" applyBorder="1" applyAlignment="1" applyProtection="1">
      <alignment horizontal="center" vertical="center"/>
      <protection hidden="1"/>
    </xf>
    <xf numFmtId="0" fontId="10" fillId="0" borderId="67" xfId="0" applyFont="1" applyFill="1" applyBorder="1" applyAlignment="1" applyProtection="1">
      <alignment horizontal="center" vertical="center"/>
      <protection hidden="1"/>
    </xf>
    <xf numFmtId="0" fontId="2" fillId="0" borderId="71" xfId="0" applyFont="1" applyFill="1" applyBorder="1" applyProtection="1">
      <protection hidden="1"/>
    </xf>
    <xf numFmtId="0" fontId="15" fillId="0" borderId="69" xfId="0" applyFont="1" applyFill="1" applyBorder="1" applyProtection="1">
      <protection hidden="1"/>
    </xf>
    <xf numFmtId="0" fontId="2" fillId="0" borderId="69" xfId="0" applyFont="1" applyFill="1" applyBorder="1" applyProtection="1">
      <protection hidden="1"/>
    </xf>
    <xf numFmtId="0" fontId="2" fillId="0" borderId="70" xfId="0" applyFont="1" applyFill="1" applyBorder="1" applyProtection="1">
      <protection hidden="1"/>
    </xf>
    <xf numFmtId="178" fontId="2" fillId="0" borderId="23" xfId="1" applyNumberFormat="1" applyFont="1" applyBorder="1" applyAlignment="1" applyProtection="1">
      <alignment horizontal="right" vertical="center"/>
      <protection hidden="1"/>
    </xf>
    <xf numFmtId="0" fontId="2" fillId="0" borderId="0" xfId="0" applyFont="1" applyFill="1" applyBorder="1" applyAlignment="1" applyProtection="1">
      <alignment horizontal="center" vertical="center"/>
      <protection hidden="1"/>
    </xf>
    <xf numFmtId="38" fontId="2" fillId="0" borderId="0" xfId="1" applyFont="1" applyFill="1" applyBorder="1" applyAlignment="1" applyProtection="1">
      <alignment horizontal="right" vertical="center"/>
      <protection hidden="1"/>
    </xf>
    <xf numFmtId="0" fontId="25" fillId="0" borderId="0" xfId="0" applyFont="1" applyFill="1" applyBorder="1" applyAlignment="1" applyProtection="1">
      <alignment horizontal="center" vertical="center"/>
      <protection hidden="1"/>
    </xf>
    <xf numFmtId="38" fontId="2" fillId="0" borderId="73" xfId="1" applyFont="1" applyFill="1" applyBorder="1" applyAlignment="1" applyProtection="1">
      <alignment horizontal="right" vertical="center"/>
      <protection hidden="1"/>
    </xf>
    <xf numFmtId="0" fontId="6" fillId="0" borderId="45" xfId="0" applyFont="1" applyBorder="1" applyAlignment="1" applyProtection="1">
      <alignment horizontal="right" vertical="center"/>
      <protection hidden="1"/>
    </xf>
    <xf numFmtId="0" fontId="6" fillId="0" borderId="0" xfId="0" applyFont="1" applyAlignment="1" applyProtection="1">
      <alignment horizontal="right" vertical="center"/>
      <protection hidden="1"/>
    </xf>
    <xf numFmtId="38" fontId="9" fillId="0" borderId="0" xfId="1" applyFont="1" applyFill="1" applyBorder="1" applyAlignment="1" applyProtection="1">
      <alignment horizontal="right" vertical="center"/>
      <protection locked="0" hidden="1"/>
    </xf>
    <xf numFmtId="38" fontId="7" fillId="0" borderId="0" xfId="1" applyFont="1" applyFill="1" applyBorder="1" applyAlignment="1" applyProtection="1">
      <alignment horizontal="right" vertical="center"/>
      <protection locked="0" hidden="1"/>
    </xf>
    <xf numFmtId="0" fontId="6" fillId="0" borderId="2" xfId="0" applyFont="1" applyFill="1" applyBorder="1" applyAlignment="1" applyProtection="1">
      <alignment horizontal="center"/>
      <protection hidden="1"/>
    </xf>
    <xf numFmtId="0" fontId="6" fillId="0" borderId="2" xfId="0" applyFont="1" applyFill="1" applyBorder="1" applyAlignment="1" applyProtection="1">
      <alignment horizontal="center" vertical="center"/>
      <protection hidden="1"/>
    </xf>
    <xf numFmtId="0" fontId="6" fillId="0" borderId="0" xfId="0" applyFont="1" applyFill="1" applyBorder="1" applyAlignment="1" applyProtection="1">
      <alignment horizontal="center" vertical="center" wrapText="1"/>
      <protection hidden="1"/>
    </xf>
    <xf numFmtId="0" fontId="0" fillId="0" borderId="0" xfId="0" applyAlignment="1">
      <alignment vertical="center" wrapText="1"/>
    </xf>
    <xf numFmtId="38" fontId="2" fillId="0" borderId="28" xfId="1" applyFont="1" applyBorder="1" applyAlignment="1" applyProtection="1">
      <alignment horizontal="right" vertical="center"/>
      <protection hidden="1"/>
    </xf>
    <xf numFmtId="38" fontId="2" fillId="0" borderId="30" xfId="1" applyFont="1" applyBorder="1" applyAlignment="1" applyProtection="1">
      <alignment horizontal="right" vertical="center"/>
      <protection hidden="1"/>
    </xf>
    <xf numFmtId="38" fontId="2" fillId="0" borderId="33" xfId="1" applyFont="1" applyBorder="1" applyAlignment="1" applyProtection="1">
      <alignment horizontal="right" vertical="center"/>
      <protection hidden="1"/>
    </xf>
    <xf numFmtId="38" fontId="2" fillId="0" borderId="2" xfId="1" applyFont="1" applyBorder="1" applyAlignment="1" applyProtection="1">
      <alignment horizontal="right" vertical="center"/>
      <protection hidden="1"/>
    </xf>
    <xf numFmtId="0" fontId="2" fillId="0" borderId="2" xfId="0" applyFont="1" applyBorder="1" applyAlignment="1" applyProtection="1">
      <alignment horizontal="center" vertical="center"/>
      <protection hidden="1"/>
    </xf>
    <xf numFmtId="38" fontId="2" fillId="0" borderId="2" xfId="0" applyNumberFormat="1" applyFont="1" applyBorder="1" applyAlignment="1" applyProtection="1">
      <alignment horizontal="right" vertical="center"/>
      <protection hidden="1"/>
    </xf>
    <xf numFmtId="0" fontId="2" fillId="0" borderId="2" xfId="0" applyFont="1" applyBorder="1" applyAlignment="1" applyProtection="1">
      <alignment horizontal="right" vertical="center"/>
      <protection hidden="1"/>
    </xf>
    <xf numFmtId="0" fontId="2" fillId="0" borderId="45" xfId="0" applyFont="1" applyBorder="1" applyAlignment="1" applyProtection="1">
      <alignment horizontal="center" vertical="center"/>
      <protection hidden="1"/>
    </xf>
    <xf numFmtId="0" fontId="2" fillId="0" borderId="46" xfId="0" applyFont="1" applyBorder="1" applyAlignment="1" applyProtection="1">
      <alignment horizontal="center" vertical="center"/>
      <protection hidden="1"/>
    </xf>
    <xf numFmtId="38" fontId="2" fillId="0" borderId="26" xfId="1" applyFont="1" applyBorder="1" applyAlignment="1" applyProtection="1">
      <alignment horizontal="right" vertical="center"/>
      <protection hidden="1"/>
    </xf>
    <xf numFmtId="38" fontId="2" fillId="0" borderId="29" xfId="1" applyFont="1" applyBorder="1" applyAlignment="1" applyProtection="1">
      <alignment horizontal="right" vertical="center"/>
      <protection hidden="1"/>
    </xf>
    <xf numFmtId="38" fontId="2" fillId="0" borderId="31" xfId="1" applyFont="1" applyBorder="1" applyAlignment="1" applyProtection="1">
      <alignment horizontal="right" vertical="center"/>
      <protection hidden="1"/>
    </xf>
    <xf numFmtId="0" fontId="2" fillId="6" borderId="2" xfId="0" applyFont="1" applyFill="1" applyBorder="1" applyAlignment="1" applyProtection="1">
      <alignment horizontal="center" vertical="center"/>
      <protection hidden="1"/>
    </xf>
    <xf numFmtId="0" fontId="2" fillId="4" borderId="2" xfId="0" applyFont="1" applyFill="1" applyBorder="1" applyAlignment="1" applyProtection="1">
      <alignment horizontal="center" vertical="center"/>
      <protection hidden="1"/>
    </xf>
    <xf numFmtId="0" fontId="4" fillId="0" borderId="0" xfId="0" applyFont="1" applyBorder="1" applyAlignment="1" applyProtection="1">
      <alignment horizontal="center" vertical="center" wrapText="1"/>
      <protection hidden="1"/>
    </xf>
    <xf numFmtId="0" fontId="2" fillId="5" borderId="2" xfId="0" applyFont="1" applyFill="1" applyBorder="1" applyAlignment="1" applyProtection="1">
      <alignment horizontal="center" vertical="center"/>
      <protection hidden="1"/>
    </xf>
    <xf numFmtId="38" fontId="2" fillId="0" borderId="2" xfId="0" applyNumberFormat="1" applyFont="1" applyFill="1" applyBorder="1" applyAlignment="1" applyProtection="1">
      <alignment horizontal="right" vertical="center"/>
      <protection hidden="1"/>
    </xf>
    <xf numFmtId="0" fontId="2" fillId="0" borderId="2" xfId="0" applyFont="1" applyFill="1" applyBorder="1" applyAlignment="1" applyProtection="1">
      <alignment horizontal="right" vertical="center"/>
      <protection hidden="1"/>
    </xf>
    <xf numFmtId="38" fontId="16" fillId="0" borderId="0" xfId="1" applyFont="1" applyFill="1" applyBorder="1" applyAlignment="1" applyProtection="1">
      <alignment horizontal="center" vertical="center"/>
      <protection hidden="1"/>
    </xf>
    <xf numFmtId="38" fontId="16" fillId="0" borderId="0" xfId="0" applyNumberFormat="1" applyFont="1" applyFill="1" applyBorder="1" applyAlignment="1" applyProtection="1">
      <alignment horizontal="center" vertical="distributed"/>
      <protection hidden="1"/>
    </xf>
    <xf numFmtId="38" fontId="10" fillId="4" borderId="1" xfId="0" applyNumberFormat="1" applyFont="1" applyFill="1" applyBorder="1" applyAlignment="1" applyProtection="1">
      <alignment horizontal="center" vertical="center"/>
      <protection hidden="1"/>
    </xf>
    <xf numFmtId="38" fontId="16" fillId="0" borderId="0" xfId="0" applyNumberFormat="1" applyFont="1" applyFill="1" applyBorder="1" applyAlignment="1" applyProtection="1">
      <alignment horizontal="center" vertical="center"/>
      <protection hidden="1"/>
    </xf>
    <xf numFmtId="38" fontId="2" fillId="0" borderId="2" xfId="1" applyFont="1" applyFill="1" applyBorder="1" applyAlignment="1" applyProtection="1">
      <alignment horizontal="right" vertical="center"/>
      <protection hidden="1"/>
    </xf>
    <xf numFmtId="38" fontId="10" fillId="5" borderId="13" xfId="0" applyNumberFormat="1" applyFont="1" applyFill="1" applyBorder="1" applyAlignment="1" applyProtection="1">
      <alignment horizontal="center" vertical="center"/>
      <protection hidden="1"/>
    </xf>
    <xf numFmtId="38" fontId="10" fillId="5" borderId="36" xfId="0" applyNumberFormat="1" applyFont="1" applyFill="1" applyBorder="1" applyAlignment="1" applyProtection="1">
      <alignment horizontal="center" vertical="center"/>
      <protection hidden="1"/>
    </xf>
    <xf numFmtId="38" fontId="10" fillId="5" borderId="37" xfId="0" applyNumberFormat="1" applyFont="1" applyFill="1" applyBorder="1" applyAlignment="1" applyProtection="1">
      <alignment horizontal="center" vertical="center"/>
      <protection hidden="1"/>
    </xf>
    <xf numFmtId="38" fontId="2" fillId="7" borderId="2" xfId="0" applyNumberFormat="1" applyFont="1" applyFill="1" applyBorder="1" applyAlignment="1" applyProtection="1">
      <alignment horizontal="right" vertical="center"/>
      <protection hidden="1"/>
    </xf>
    <xf numFmtId="0" fontId="2" fillId="7" borderId="2" xfId="0" applyFont="1" applyFill="1" applyBorder="1" applyAlignment="1" applyProtection="1">
      <alignment horizontal="right" vertical="center"/>
      <protection hidden="1"/>
    </xf>
    <xf numFmtId="0" fontId="25" fillId="0" borderId="35" xfId="0" applyFont="1" applyBorder="1" applyAlignment="1" applyProtection="1">
      <alignment horizontal="center" vertical="center"/>
      <protection hidden="1"/>
    </xf>
    <xf numFmtId="0" fontId="25" fillId="0" borderId="23" xfId="0" applyFont="1" applyBorder="1" applyAlignment="1" applyProtection="1">
      <alignment horizontal="center" vertical="center"/>
      <protection hidden="1"/>
    </xf>
    <xf numFmtId="0" fontId="25" fillId="0" borderId="24" xfId="0" applyFont="1" applyBorder="1" applyAlignment="1" applyProtection="1">
      <alignment horizontal="center" vertical="center"/>
      <protection hidden="1"/>
    </xf>
    <xf numFmtId="49" fontId="14" fillId="0" borderId="0" xfId="0" applyNumberFormat="1" applyFont="1" applyFill="1" applyBorder="1" applyAlignment="1" applyProtection="1">
      <alignment horizontal="center"/>
      <protection hidden="1"/>
    </xf>
    <xf numFmtId="0" fontId="13" fillId="0" borderId="0" xfId="0" applyFont="1" applyFill="1" applyBorder="1" applyAlignment="1" applyProtection="1">
      <alignment horizontal="center"/>
      <protection hidden="1"/>
    </xf>
    <xf numFmtId="38" fontId="10" fillId="6" borderId="13" xfId="0" applyNumberFormat="1" applyFont="1" applyFill="1" applyBorder="1" applyAlignment="1" applyProtection="1">
      <alignment horizontal="center" vertical="center"/>
      <protection hidden="1"/>
    </xf>
    <xf numFmtId="38" fontId="10" fillId="6" borderId="36" xfId="0" applyNumberFormat="1" applyFont="1" applyFill="1" applyBorder="1" applyAlignment="1" applyProtection="1">
      <alignment horizontal="center" vertical="center"/>
      <protection hidden="1"/>
    </xf>
    <xf numFmtId="38" fontId="10" fillId="6" borderId="37" xfId="0" applyNumberFormat="1" applyFont="1" applyFill="1" applyBorder="1" applyAlignment="1" applyProtection="1">
      <alignment horizontal="center" vertical="center"/>
      <protection hidden="1"/>
    </xf>
    <xf numFmtId="176" fontId="13" fillId="0" borderId="0" xfId="0" applyNumberFormat="1" applyFont="1" applyFill="1" applyBorder="1" applyAlignment="1" applyProtection="1">
      <alignment horizontal="center"/>
      <protection hidden="1"/>
    </xf>
    <xf numFmtId="0" fontId="16" fillId="0" borderId="65" xfId="0" applyFont="1" applyFill="1" applyBorder="1" applyAlignment="1" applyProtection="1">
      <alignment horizontal="left"/>
      <protection hidden="1"/>
    </xf>
    <xf numFmtId="0" fontId="16" fillId="0" borderId="0" xfId="0" applyFont="1" applyFill="1" applyBorder="1" applyAlignment="1" applyProtection="1">
      <alignment horizontal="left"/>
      <protection hidden="1"/>
    </xf>
    <xf numFmtId="0" fontId="4" fillId="0" borderId="2" xfId="0" applyFont="1" applyFill="1" applyBorder="1" applyAlignment="1" applyProtection="1">
      <alignment horizontal="center" vertical="center"/>
      <protection hidden="1"/>
    </xf>
    <xf numFmtId="38" fontId="23" fillId="0" borderId="50" xfId="1" applyFont="1" applyFill="1" applyBorder="1" applyAlignment="1" applyProtection="1">
      <alignment horizontal="center" vertical="center"/>
      <protection hidden="1"/>
    </xf>
    <xf numFmtId="38" fontId="23" fillId="0" borderId="0" xfId="1" applyFont="1" applyFill="1" applyBorder="1" applyAlignment="1" applyProtection="1">
      <alignment horizontal="center" vertical="center"/>
      <protection hidden="1"/>
    </xf>
    <xf numFmtId="38" fontId="23" fillId="0" borderId="52" xfId="1" applyFont="1" applyFill="1" applyBorder="1" applyAlignment="1" applyProtection="1">
      <alignment horizontal="center" vertical="center"/>
      <protection hidden="1"/>
    </xf>
    <xf numFmtId="38" fontId="23" fillId="0" borderId="53" xfId="1" applyFont="1" applyFill="1" applyBorder="1" applyAlignment="1" applyProtection="1">
      <alignment horizontal="center" vertical="center"/>
      <protection hidden="1"/>
    </xf>
    <xf numFmtId="40" fontId="23" fillId="0" borderId="51" xfId="1" applyNumberFormat="1" applyFont="1" applyFill="1" applyBorder="1" applyAlignment="1" applyProtection="1">
      <alignment horizontal="center" vertical="center"/>
      <protection hidden="1"/>
    </xf>
    <xf numFmtId="40" fontId="23" fillId="0" borderId="54" xfId="1" applyNumberFormat="1" applyFont="1" applyFill="1" applyBorder="1" applyAlignment="1" applyProtection="1">
      <alignment horizontal="center" vertical="center"/>
      <protection hidden="1"/>
    </xf>
    <xf numFmtId="0" fontId="6" fillId="0" borderId="35" xfId="0" applyFont="1" applyFill="1" applyBorder="1" applyAlignment="1" applyProtection="1">
      <alignment horizontal="center" vertical="center"/>
      <protection hidden="1"/>
    </xf>
    <xf numFmtId="0" fontId="6" fillId="0" borderId="24" xfId="0" applyFont="1" applyFill="1" applyBorder="1" applyAlignment="1" applyProtection="1">
      <alignment horizontal="center" vertical="center"/>
      <protection hidden="1"/>
    </xf>
    <xf numFmtId="0" fontId="4" fillId="0" borderId="35" xfId="0" applyFont="1" applyFill="1" applyBorder="1" applyAlignment="1" applyProtection="1">
      <alignment horizontal="center" vertical="center"/>
      <protection hidden="1"/>
    </xf>
    <xf numFmtId="0" fontId="4" fillId="0" borderId="24" xfId="0" applyFont="1" applyFill="1" applyBorder="1" applyAlignment="1" applyProtection="1">
      <alignment horizontal="center" vertical="center"/>
      <protection hidden="1"/>
    </xf>
    <xf numFmtId="38" fontId="10" fillId="0" borderId="47" xfId="1" applyFont="1" applyFill="1" applyBorder="1" applyAlignment="1" applyProtection="1">
      <alignment horizontal="center" vertical="center"/>
      <protection hidden="1"/>
    </xf>
    <xf numFmtId="38" fontId="10" fillId="0" borderId="48" xfId="1" applyFont="1" applyFill="1" applyBorder="1" applyAlignment="1" applyProtection="1">
      <alignment horizontal="center" vertical="center"/>
      <protection hidden="1"/>
    </xf>
    <xf numFmtId="38" fontId="10" fillId="0" borderId="49" xfId="1" applyFont="1" applyFill="1" applyBorder="1" applyAlignment="1" applyProtection="1">
      <alignment horizontal="center" vertical="center"/>
      <protection hidden="1"/>
    </xf>
    <xf numFmtId="0" fontId="6" fillId="0" borderId="2" xfId="0" applyFont="1" applyFill="1" applyBorder="1" applyAlignment="1" applyProtection="1">
      <alignment horizontal="center" vertical="center" wrapText="1"/>
      <protection hidden="1"/>
    </xf>
    <xf numFmtId="0" fontId="6" fillId="0" borderId="56" xfId="0" applyFont="1" applyFill="1" applyBorder="1" applyAlignment="1" applyProtection="1">
      <alignment horizontal="center" wrapText="1"/>
      <protection hidden="1"/>
    </xf>
    <xf numFmtId="0" fontId="6" fillId="0" borderId="57" xfId="0" applyFont="1" applyFill="1" applyBorder="1" applyAlignment="1" applyProtection="1">
      <alignment horizontal="center"/>
      <protection hidden="1"/>
    </xf>
    <xf numFmtId="0" fontId="6" fillId="0" borderId="58" xfId="0" applyFont="1" applyFill="1" applyBorder="1" applyAlignment="1" applyProtection="1">
      <alignment horizontal="center"/>
      <protection hidden="1"/>
    </xf>
    <xf numFmtId="38" fontId="23" fillId="0" borderId="59" xfId="1" applyFont="1" applyFill="1" applyBorder="1" applyAlignment="1" applyProtection="1">
      <alignment horizontal="center" vertical="center"/>
      <protection hidden="1"/>
    </xf>
    <xf numFmtId="40" fontId="23" fillId="0" borderId="55" xfId="1" applyNumberFormat="1" applyFont="1" applyFill="1" applyBorder="1" applyAlignment="1" applyProtection="1">
      <alignment horizontal="center" vertical="center"/>
      <protection hidden="1"/>
    </xf>
    <xf numFmtId="38" fontId="26" fillId="0" borderId="35" xfId="0" applyNumberFormat="1" applyFont="1" applyFill="1" applyBorder="1" applyAlignment="1" applyProtection="1">
      <alignment horizontal="right" vertical="center"/>
      <protection hidden="1"/>
    </xf>
    <xf numFmtId="0" fontId="26" fillId="0" borderId="24" xfId="0" applyFont="1" applyFill="1" applyBorder="1" applyAlignment="1" applyProtection="1">
      <alignment horizontal="right" vertical="center"/>
      <protection hidden="1"/>
    </xf>
    <xf numFmtId="0" fontId="10" fillId="0" borderId="13" xfId="0" applyFont="1" applyBorder="1" applyAlignment="1" applyProtection="1">
      <alignment horizontal="center" vertical="center"/>
      <protection hidden="1"/>
    </xf>
    <xf numFmtId="0" fontId="10" fillId="0" borderId="36" xfId="0" applyFont="1" applyBorder="1" applyAlignment="1" applyProtection="1">
      <alignment horizontal="center" vertical="center"/>
      <protection hidden="1"/>
    </xf>
    <xf numFmtId="0" fontId="10" fillId="0" borderId="37" xfId="0" applyFont="1" applyBorder="1" applyAlignment="1" applyProtection="1">
      <alignment horizontal="center" vertical="center"/>
      <protection hidden="1"/>
    </xf>
    <xf numFmtId="0" fontId="10" fillId="0" borderId="38" xfId="0" applyFont="1" applyBorder="1" applyAlignment="1" applyProtection="1">
      <alignment horizontal="left" vertical="center" wrapText="1"/>
      <protection hidden="1"/>
    </xf>
    <xf numFmtId="0" fontId="10" fillId="0" borderId="39" xfId="0" applyFont="1" applyBorder="1" applyAlignment="1" applyProtection="1">
      <alignment horizontal="left" vertical="center" wrapText="1"/>
      <protection hidden="1"/>
    </xf>
    <xf numFmtId="0" fontId="10" fillId="0" borderId="40" xfId="0" applyFont="1" applyBorder="1" applyAlignment="1" applyProtection="1">
      <alignment horizontal="left" vertical="center" wrapText="1"/>
      <protection hidden="1"/>
    </xf>
    <xf numFmtId="0" fontId="10" fillId="0" borderId="25" xfId="0" applyFont="1" applyBorder="1" applyAlignment="1" applyProtection="1">
      <alignment horizontal="left" vertical="center" wrapText="1"/>
      <protection hidden="1"/>
    </xf>
    <xf numFmtId="0" fontId="10" fillId="0" borderId="0" xfId="0" applyFont="1" applyBorder="1" applyAlignment="1" applyProtection="1">
      <alignment horizontal="left" vertical="center" wrapText="1"/>
      <protection hidden="1"/>
    </xf>
    <xf numFmtId="0" fontId="10" fillId="0" borderId="41" xfId="0" applyFont="1" applyBorder="1" applyAlignment="1" applyProtection="1">
      <alignment horizontal="left" vertical="center" wrapText="1"/>
      <protection hidden="1"/>
    </xf>
    <xf numFmtId="0" fontId="10" fillId="0" borderId="42" xfId="0" applyFont="1" applyBorder="1" applyAlignment="1" applyProtection="1">
      <alignment horizontal="left" vertical="center" wrapText="1"/>
      <protection hidden="1"/>
    </xf>
    <xf numFmtId="0" fontId="10" fillId="0" borderId="43" xfId="0" applyFont="1" applyBorder="1" applyAlignment="1" applyProtection="1">
      <alignment horizontal="left" vertical="center" wrapText="1"/>
      <protection hidden="1"/>
    </xf>
    <xf numFmtId="0" fontId="10" fillId="0" borderId="44" xfId="0" applyFont="1" applyBorder="1" applyAlignment="1" applyProtection="1">
      <alignment horizontal="left" vertical="center" wrapText="1"/>
      <protection hidden="1"/>
    </xf>
    <xf numFmtId="38" fontId="10" fillId="8" borderId="13" xfId="0" applyNumberFormat="1" applyFont="1" applyFill="1" applyBorder="1" applyAlignment="1" applyProtection="1">
      <alignment horizontal="center" vertical="center"/>
      <protection hidden="1"/>
    </xf>
    <xf numFmtId="38" fontId="10" fillId="8" borderId="36" xfId="0" applyNumberFormat="1" applyFont="1" applyFill="1" applyBorder="1" applyAlignment="1" applyProtection="1">
      <alignment horizontal="center" vertical="center"/>
      <protection hidden="1"/>
    </xf>
    <xf numFmtId="38" fontId="10" fillId="8" borderId="37" xfId="0" applyNumberFormat="1" applyFont="1" applyFill="1" applyBorder="1" applyAlignment="1" applyProtection="1">
      <alignment horizontal="center" vertical="center"/>
      <protection hidden="1"/>
    </xf>
    <xf numFmtId="38" fontId="10" fillId="8" borderId="72" xfId="0" applyNumberFormat="1" applyFont="1" applyFill="1" applyBorder="1" applyAlignment="1" applyProtection="1">
      <alignment horizontal="right" vertical="center"/>
      <protection hidden="1"/>
    </xf>
    <xf numFmtId="38" fontId="10" fillId="8" borderId="23" xfId="0" applyNumberFormat="1" applyFont="1" applyFill="1" applyBorder="1" applyAlignment="1" applyProtection="1">
      <alignment horizontal="right" vertical="center"/>
      <protection hidden="1"/>
    </xf>
    <xf numFmtId="0" fontId="2" fillId="8" borderId="2" xfId="0" applyFont="1" applyFill="1" applyBorder="1" applyAlignment="1" applyProtection="1">
      <alignment horizontal="center" vertical="center"/>
      <protection hidden="1"/>
    </xf>
    <xf numFmtId="38" fontId="2" fillId="0" borderId="27" xfId="1" applyFont="1" applyBorder="1" applyAlignment="1" applyProtection="1">
      <alignment horizontal="right" vertical="center"/>
      <protection hidden="1"/>
    </xf>
    <xf numFmtId="38" fontId="2" fillId="0" borderId="4" xfId="1" applyFont="1" applyBorder="1" applyAlignment="1" applyProtection="1">
      <alignment horizontal="right" vertical="center"/>
      <protection hidden="1"/>
    </xf>
    <xf numFmtId="38" fontId="2" fillId="0" borderId="32" xfId="1" applyFont="1" applyBorder="1" applyAlignment="1" applyProtection="1">
      <alignment horizontal="right" vertical="center"/>
      <protection hidden="1"/>
    </xf>
  </cellXfs>
  <cellStyles count="2">
    <cellStyle name="桁区切り" xfId="1" builtinId="6"/>
    <cellStyle name="標準" xfId="0" builtinId="0"/>
  </cellStyles>
  <dxfs count="17">
    <dxf>
      <font>
        <b/>
        <i val="0"/>
        <condense val="0"/>
        <extend val="0"/>
        <color auto="1"/>
      </font>
      <fill>
        <patternFill>
          <bgColor theme="9" tint="0.59996337778862885"/>
        </patternFill>
      </fill>
    </dxf>
    <dxf>
      <font>
        <b/>
        <i val="0"/>
        <color rgb="FF3333CC"/>
      </font>
      <fill>
        <patternFill>
          <bgColor rgb="FFFF99CC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indexed="45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12"/>
      </font>
      <fill>
        <patternFill patternType="solid">
          <bgColor indexed="45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 patternType="none">
          <bgColor indexed="65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rgb="FFFF99FF"/>
        </patternFill>
      </fill>
    </dxf>
    <dxf>
      <font>
        <b/>
        <i val="0"/>
        <condense val="0"/>
        <extend val="0"/>
        <color auto="1"/>
      </font>
      <fill>
        <patternFill>
          <fgColor indexed="64"/>
          <bgColor rgb="FFFFFF66"/>
        </patternFill>
      </fill>
    </dxf>
    <dxf>
      <font>
        <b/>
        <i val="0"/>
        <condense val="0"/>
        <extend val="0"/>
        <color auto="1"/>
      </font>
      <fill>
        <patternFill>
          <bgColor theme="3" tint="0.79998168889431442"/>
        </patternFill>
      </fill>
    </dxf>
    <dxf>
      <font>
        <b/>
        <i val="0"/>
        <condense val="0"/>
        <extend val="0"/>
        <color auto="1"/>
      </font>
      <fill>
        <patternFill>
          <bgColor rgb="FFFF99FF"/>
        </patternFill>
      </fill>
    </dxf>
    <dxf>
      <font>
        <b/>
        <i val="0"/>
        <condense val="0"/>
        <extend val="0"/>
        <color auto="1"/>
      </font>
      <fill>
        <patternFill>
          <bgColor rgb="FFFFFF66"/>
        </patternFill>
      </fill>
    </dxf>
    <dxf>
      <font>
        <b/>
        <i val="0"/>
        <condense val="0"/>
        <extend val="0"/>
        <color indexed="8"/>
      </font>
      <fill>
        <patternFill>
          <bgColor theme="3" tint="0.79998168889431442"/>
        </patternFill>
      </fill>
    </dxf>
    <dxf>
      <font>
        <condense val="0"/>
        <extend val="0"/>
        <color indexed="12"/>
      </font>
      <fill>
        <patternFill>
          <bgColor indexed="45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12"/>
      </font>
      <fill>
        <patternFill>
          <bgColor indexed="45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12"/>
      </font>
      <fill>
        <patternFill>
          <bgColor indexed="45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12"/>
      </font>
      <fill>
        <patternFill>
          <bgColor indexed="45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12"/>
      </font>
      <fill>
        <patternFill>
          <bgColor indexed="45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12"/>
      </font>
      <fill>
        <patternFill>
          <bgColor indexed="45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試算!$R$7</c:f>
              <c:strCache>
                <c:ptCount val="1"/>
              </c:strCache>
            </c:strRef>
          </c:tx>
          <c:invertIfNegative val="0"/>
          <c:val>
            <c:numRef>
              <c:f>試算!$S$40:$U$40</c:f>
              <c:numCache>
                <c:formatCode>General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0-566F-407F-8FE4-8C93A617DA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566640"/>
        <c:axId val="1"/>
      </c:barChart>
      <c:catAx>
        <c:axId val="14566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4566640"/>
        <c:crosses val="autoZero"/>
        <c:crossBetween val="between"/>
      </c:valAx>
    </c:plotArea>
    <c:legend>
      <c:legendPos val="r"/>
      <c:layout>
        <c:manualLayout>
          <c:xMode val="edge"/>
          <c:yMode val="edge"/>
          <c:wMode val="edge"/>
          <c:hMode val="edge"/>
          <c:x val="0.9682701906114195"/>
          <c:y val="0.51020408163265307"/>
          <c:w val="0.99181166903317419"/>
          <c:h val="0.54788069073783363"/>
        </c:manualLayout>
      </c:layout>
      <c:overlay val="0"/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000-000000000000}">
  <sheetPr codeName="Graph1"/>
  <sheetViews>
    <sheetView zoomScale="98" workbookViewId="0"/>
  </sheetViews>
  <pageMargins left="0.7" right="0.7" top="0.75" bottom="0.75" header="0.3" footer="0.3"/>
  <drawing r:id="rId1"/>
</chartsheet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96400" cy="6067425"/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</xdr:row>
      <xdr:rowOff>171450</xdr:rowOff>
    </xdr:from>
    <xdr:to>
      <xdr:col>3</xdr:col>
      <xdr:colOff>209550</xdr:colOff>
      <xdr:row>8</xdr:row>
      <xdr:rowOff>19050</xdr:rowOff>
    </xdr:to>
    <xdr:sp macro="" textlink="">
      <xdr:nvSpPr>
        <xdr:cNvPr id="20776" name="Rectangle 33">
          <a:extLst>
            <a:ext uri="{FF2B5EF4-FFF2-40B4-BE49-F238E27FC236}">
              <a16:creationId xmlns:a16="http://schemas.microsoft.com/office/drawing/2014/main" id="{00000000-0008-0000-0100-000028510000}"/>
            </a:ext>
          </a:extLst>
        </xdr:cNvPr>
        <xdr:cNvSpPr>
          <a:spLocks noChangeArrowheads="1"/>
        </xdr:cNvSpPr>
      </xdr:nvSpPr>
      <xdr:spPr bwMode="auto">
        <a:xfrm>
          <a:off x="257175" y="333375"/>
          <a:ext cx="781050" cy="106680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</xdr:col>
      <xdr:colOff>238125</xdr:colOff>
      <xdr:row>2</xdr:row>
      <xdr:rowOff>0</xdr:rowOff>
    </xdr:from>
    <xdr:to>
      <xdr:col>8</xdr:col>
      <xdr:colOff>0</xdr:colOff>
      <xdr:row>8</xdr:row>
      <xdr:rowOff>19050</xdr:rowOff>
    </xdr:to>
    <xdr:sp macro="" textlink="">
      <xdr:nvSpPr>
        <xdr:cNvPr id="20777" name="Rectangle 34">
          <a:extLst>
            <a:ext uri="{FF2B5EF4-FFF2-40B4-BE49-F238E27FC236}">
              <a16:creationId xmlns:a16="http://schemas.microsoft.com/office/drawing/2014/main" id="{00000000-0008-0000-0100-000029510000}"/>
            </a:ext>
          </a:extLst>
        </xdr:cNvPr>
        <xdr:cNvSpPr>
          <a:spLocks noChangeArrowheads="1"/>
        </xdr:cNvSpPr>
      </xdr:nvSpPr>
      <xdr:spPr bwMode="auto">
        <a:xfrm>
          <a:off x="1066800" y="333375"/>
          <a:ext cx="971550" cy="106680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8</xdr:col>
      <xdr:colOff>73625</xdr:colOff>
      <xdr:row>1</xdr:row>
      <xdr:rowOff>167331</xdr:rowOff>
    </xdr:from>
    <xdr:to>
      <xdr:col>10</xdr:col>
      <xdr:colOff>226025</xdr:colOff>
      <xdr:row>8</xdr:row>
      <xdr:rowOff>12614</xdr:rowOff>
    </xdr:to>
    <xdr:sp macro="" textlink="">
      <xdr:nvSpPr>
        <xdr:cNvPr id="20778" name="Rectangle 35">
          <a:extLst>
            <a:ext uri="{FF2B5EF4-FFF2-40B4-BE49-F238E27FC236}">
              <a16:creationId xmlns:a16="http://schemas.microsoft.com/office/drawing/2014/main" id="{00000000-0008-0000-0100-00002A510000}"/>
            </a:ext>
          </a:extLst>
        </xdr:cNvPr>
        <xdr:cNvSpPr>
          <a:spLocks noChangeArrowheads="1"/>
        </xdr:cNvSpPr>
      </xdr:nvSpPr>
      <xdr:spPr bwMode="auto">
        <a:xfrm>
          <a:off x="2107341" y="328226"/>
          <a:ext cx="911826" cy="1074523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</xdr:col>
      <xdr:colOff>51434</xdr:colOff>
      <xdr:row>1</xdr:row>
      <xdr:rowOff>1953</xdr:rowOff>
    </xdr:from>
    <xdr:to>
      <xdr:col>6</xdr:col>
      <xdr:colOff>269222</xdr:colOff>
      <xdr:row>1</xdr:row>
      <xdr:rowOff>118664</xdr:rowOff>
    </xdr:to>
    <xdr:sp macro="" textlink="">
      <xdr:nvSpPr>
        <xdr:cNvPr id="13377" name="Text Box 65">
          <a:extLst>
            <a:ext uri="{FF2B5EF4-FFF2-40B4-BE49-F238E27FC236}">
              <a16:creationId xmlns:a16="http://schemas.microsoft.com/office/drawing/2014/main" id="{00000000-0008-0000-0100-000041340000}"/>
            </a:ext>
          </a:extLst>
        </xdr:cNvPr>
        <xdr:cNvSpPr txBox="1">
          <a:spLocks noChangeArrowheads="1"/>
        </xdr:cNvSpPr>
      </xdr:nvSpPr>
      <xdr:spPr bwMode="auto">
        <a:xfrm>
          <a:off x="254683" y="160215"/>
          <a:ext cx="1304485" cy="132862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99CC" mc:Ignorable="a14" a14:legacySpreadsheetColorIndex="45"/>
        </a:solidFill>
        <a:ln>
          <a:noFill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600" b="1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桃色の箇所を全て入力してください。</a:t>
          </a:r>
        </a:p>
      </xdr:txBody>
    </xdr:sp>
    <xdr:clientData/>
  </xdr:twoCellAnchor>
  <xdr:twoCellAnchor>
    <xdr:from>
      <xdr:col>10</xdr:col>
      <xdr:colOff>209550</xdr:colOff>
      <xdr:row>2</xdr:row>
      <xdr:rowOff>0</xdr:rowOff>
    </xdr:from>
    <xdr:to>
      <xdr:col>13</xdr:col>
      <xdr:colOff>428625</xdr:colOff>
      <xdr:row>8</xdr:row>
      <xdr:rowOff>19050</xdr:rowOff>
    </xdr:to>
    <xdr:sp macro="" textlink="">
      <xdr:nvSpPr>
        <xdr:cNvPr id="20780" name="Rectangle 71">
          <a:extLst>
            <a:ext uri="{FF2B5EF4-FFF2-40B4-BE49-F238E27FC236}">
              <a16:creationId xmlns:a16="http://schemas.microsoft.com/office/drawing/2014/main" id="{00000000-0008-0000-0100-00002C510000}"/>
            </a:ext>
          </a:extLst>
        </xdr:cNvPr>
        <xdr:cNvSpPr>
          <a:spLocks noChangeArrowheads="1"/>
        </xdr:cNvSpPr>
      </xdr:nvSpPr>
      <xdr:spPr bwMode="auto">
        <a:xfrm>
          <a:off x="3009900" y="333375"/>
          <a:ext cx="828675" cy="106680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</xdr:col>
      <xdr:colOff>47475</xdr:colOff>
      <xdr:row>2</xdr:row>
      <xdr:rowOff>64770</xdr:rowOff>
    </xdr:from>
    <xdr:to>
      <xdr:col>3</xdr:col>
      <xdr:colOff>129543</xdr:colOff>
      <xdr:row>3</xdr:row>
      <xdr:rowOff>307067</xdr:rowOff>
    </xdr:to>
    <xdr:sp macro="" textlink="">
      <xdr:nvSpPr>
        <xdr:cNvPr id="13388" name="Text Box 76">
          <a:extLst>
            <a:ext uri="{FF2B5EF4-FFF2-40B4-BE49-F238E27FC236}">
              <a16:creationId xmlns:a16="http://schemas.microsoft.com/office/drawing/2014/main" id="{00000000-0008-0000-0100-00004C340000}"/>
            </a:ext>
          </a:extLst>
        </xdr:cNvPr>
        <xdr:cNvSpPr txBox="1">
          <a:spLocks noChangeArrowheads="1"/>
        </xdr:cNvSpPr>
      </xdr:nvSpPr>
      <xdr:spPr bwMode="auto">
        <a:xfrm>
          <a:off x="280862" y="389304"/>
          <a:ext cx="627917" cy="467213"/>
        </a:xfrm>
        <a:prstGeom prst="rect">
          <a:avLst/>
        </a:prstGeom>
        <a:noFill/>
        <a:ln>
          <a:noFill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600" b="1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①国民健康保険に加入する人数を選択してください。</a:t>
          </a:r>
        </a:p>
      </xdr:txBody>
    </xdr:sp>
    <xdr:clientData/>
  </xdr:twoCellAnchor>
  <xdr:twoCellAnchor>
    <xdr:from>
      <xdr:col>3</xdr:col>
      <xdr:colOff>287655</xdr:colOff>
      <xdr:row>2</xdr:row>
      <xdr:rowOff>64770</xdr:rowOff>
    </xdr:from>
    <xdr:to>
      <xdr:col>6</xdr:col>
      <xdr:colOff>453334</xdr:colOff>
      <xdr:row>3</xdr:row>
      <xdr:rowOff>229062</xdr:rowOff>
    </xdr:to>
    <xdr:sp macro="" textlink="">
      <xdr:nvSpPr>
        <xdr:cNvPr id="13389" name="Text Box 77">
          <a:extLst>
            <a:ext uri="{FF2B5EF4-FFF2-40B4-BE49-F238E27FC236}">
              <a16:creationId xmlns:a16="http://schemas.microsoft.com/office/drawing/2014/main" id="{00000000-0008-0000-0100-00004D340000}"/>
            </a:ext>
          </a:extLst>
        </xdr:cNvPr>
        <xdr:cNvSpPr txBox="1">
          <a:spLocks noChangeArrowheads="1"/>
        </xdr:cNvSpPr>
      </xdr:nvSpPr>
      <xdr:spPr bwMode="auto">
        <a:xfrm>
          <a:off x="876300" y="390525"/>
          <a:ext cx="847725" cy="38100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600" b="1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②前年の総所得金額等を入力してください。</a:t>
          </a:r>
          <a:endParaRPr lang="ja-JP" altLang="en-US" sz="600" b="0" i="0" u="none" strike="noStrike" baseline="0">
            <a:solidFill>
              <a:srgbClr val="0000FF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600" b="0" i="0" u="none" strike="noStrike" baseline="0">
            <a:solidFill>
              <a:srgbClr val="0000FF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8</xdr:col>
      <xdr:colOff>36195</xdr:colOff>
      <xdr:row>2</xdr:row>
      <xdr:rowOff>64770</xdr:rowOff>
    </xdr:from>
    <xdr:to>
      <xdr:col>10</xdr:col>
      <xdr:colOff>156363</xdr:colOff>
      <xdr:row>3</xdr:row>
      <xdr:rowOff>152979</xdr:rowOff>
    </xdr:to>
    <xdr:sp macro="" textlink="">
      <xdr:nvSpPr>
        <xdr:cNvPr id="13390" name="Text Box 78">
          <a:extLst>
            <a:ext uri="{FF2B5EF4-FFF2-40B4-BE49-F238E27FC236}">
              <a16:creationId xmlns:a16="http://schemas.microsoft.com/office/drawing/2014/main" id="{00000000-0008-0000-0100-00004E340000}"/>
            </a:ext>
          </a:extLst>
        </xdr:cNvPr>
        <xdr:cNvSpPr txBox="1">
          <a:spLocks noChangeArrowheads="1"/>
        </xdr:cNvSpPr>
      </xdr:nvSpPr>
      <xdr:spPr bwMode="auto">
        <a:xfrm>
          <a:off x="1838325" y="390525"/>
          <a:ext cx="857250" cy="30480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600" b="1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③年齢が４０歳から</a:t>
          </a:r>
        </a:p>
        <a:p>
          <a:pPr algn="l" rtl="0">
            <a:defRPr sz="1000"/>
          </a:pPr>
          <a:r>
            <a:rPr lang="ja-JP" altLang="en-US" sz="600" b="1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６４歳の方ですか？</a:t>
          </a:r>
        </a:p>
      </xdr:txBody>
    </xdr:sp>
    <xdr:clientData/>
  </xdr:twoCellAnchor>
  <xdr:twoCellAnchor>
    <xdr:from>
      <xdr:col>10</xdr:col>
      <xdr:colOff>255269</xdr:colOff>
      <xdr:row>2</xdr:row>
      <xdr:rowOff>38100</xdr:rowOff>
    </xdr:from>
    <xdr:to>
      <xdr:col>13</xdr:col>
      <xdr:colOff>395184</xdr:colOff>
      <xdr:row>3</xdr:row>
      <xdr:rowOff>162182</xdr:rowOff>
    </xdr:to>
    <xdr:sp macro="" textlink="">
      <xdr:nvSpPr>
        <xdr:cNvPr id="13392" name="Text Box 80">
          <a:extLst>
            <a:ext uri="{FF2B5EF4-FFF2-40B4-BE49-F238E27FC236}">
              <a16:creationId xmlns:a16="http://schemas.microsoft.com/office/drawing/2014/main" id="{00000000-0008-0000-0100-000050340000}"/>
            </a:ext>
          </a:extLst>
        </xdr:cNvPr>
        <xdr:cNvSpPr txBox="1">
          <a:spLocks noChangeArrowheads="1"/>
        </xdr:cNvSpPr>
      </xdr:nvSpPr>
      <xdr:spPr bwMode="auto">
        <a:xfrm>
          <a:off x="3039340" y="371475"/>
          <a:ext cx="774989" cy="341168"/>
        </a:xfrm>
        <a:prstGeom prst="rect">
          <a:avLst/>
        </a:prstGeom>
        <a:noFill/>
        <a:ln>
          <a:noFill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600" b="1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④加入する月を選択してください。</a:t>
          </a:r>
        </a:p>
        <a:p>
          <a:pPr algn="l" rtl="0">
            <a:defRPr sz="1000"/>
          </a:pPr>
          <a:r>
            <a:rPr lang="ja-JP" altLang="en-US" sz="600" b="1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　</a:t>
          </a:r>
        </a:p>
      </xdr:txBody>
    </xdr:sp>
    <xdr:clientData/>
  </xdr:twoCellAnchor>
  <xdr:twoCellAnchor>
    <xdr:from>
      <xdr:col>14</xdr:col>
      <xdr:colOff>19050</xdr:colOff>
      <xdr:row>2</xdr:row>
      <xdr:rowOff>0</xdr:rowOff>
    </xdr:from>
    <xdr:to>
      <xdr:col>16</xdr:col>
      <xdr:colOff>314325</xdr:colOff>
      <xdr:row>8</xdr:row>
      <xdr:rowOff>19050</xdr:rowOff>
    </xdr:to>
    <xdr:sp macro="" textlink="">
      <xdr:nvSpPr>
        <xdr:cNvPr id="20785" name="Rectangle 87">
          <a:extLst>
            <a:ext uri="{FF2B5EF4-FFF2-40B4-BE49-F238E27FC236}">
              <a16:creationId xmlns:a16="http://schemas.microsoft.com/office/drawing/2014/main" id="{00000000-0008-0000-0100-000031510000}"/>
            </a:ext>
          </a:extLst>
        </xdr:cNvPr>
        <xdr:cNvSpPr>
          <a:spLocks noChangeArrowheads="1"/>
        </xdr:cNvSpPr>
      </xdr:nvSpPr>
      <xdr:spPr bwMode="auto">
        <a:xfrm>
          <a:off x="3867150" y="333375"/>
          <a:ext cx="904875" cy="106680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14</xdr:col>
      <xdr:colOff>38845</xdr:colOff>
      <xdr:row>2</xdr:row>
      <xdr:rowOff>38100</xdr:rowOff>
    </xdr:from>
    <xdr:to>
      <xdr:col>16</xdr:col>
      <xdr:colOff>299885</xdr:colOff>
      <xdr:row>3</xdr:row>
      <xdr:rowOff>176982</xdr:rowOff>
    </xdr:to>
    <xdr:sp macro="" textlink="">
      <xdr:nvSpPr>
        <xdr:cNvPr id="13400" name="Text Box 88">
          <a:extLst>
            <a:ext uri="{FF2B5EF4-FFF2-40B4-BE49-F238E27FC236}">
              <a16:creationId xmlns:a16="http://schemas.microsoft.com/office/drawing/2014/main" id="{00000000-0008-0000-0100-000058340000}"/>
            </a:ext>
          </a:extLst>
        </xdr:cNvPr>
        <xdr:cNvSpPr txBox="1">
          <a:spLocks noChangeArrowheads="1"/>
        </xdr:cNvSpPr>
      </xdr:nvSpPr>
      <xdr:spPr bwMode="auto">
        <a:xfrm>
          <a:off x="4340087" y="362778"/>
          <a:ext cx="556591" cy="346213"/>
        </a:xfrm>
        <a:prstGeom prst="rect">
          <a:avLst/>
        </a:prstGeom>
        <a:noFill/>
        <a:ln>
          <a:noFill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600" b="1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⑤役場へ手続きに来る月を選択してください。</a:t>
          </a:r>
        </a:p>
        <a:p>
          <a:pPr algn="l" rtl="0">
            <a:defRPr sz="1000"/>
          </a:pPr>
          <a:r>
            <a:rPr lang="ja-JP" altLang="en-US" sz="600" b="1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　</a:t>
          </a:r>
        </a:p>
      </xdr:txBody>
    </xdr:sp>
    <xdr:clientData/>
  </xdr:twoCellAnchor>
  <xdr:twoCellAnchor>
    <xdr:from>
      <xdr:col>10</xdr:col>
      <xdr:colOff>120599</xdr:colOff>
      <xdr:row>0</xdr:row>
      <xdr:rowOff>13674</xdr:rowOff>
    </xdr:from>
    <xdr:to>
      <xdr:col>21</xdr:col>
      <xdr:colOff>180201</xdr:colOff>
      <xdr:row>1</xdr:row>
      <xdr:rowOff>151421</xdr:rowOff>
    </xdr:to>
    <xdr:sp macro="" textlink="">
      <xdr:nvSpPr>
        <xdr:cNvPr id="13406" name="Text Box 94">
          <a:extLst>
            <a:ext uri="{FF2B5EF4-FFF2-40B4-BE49-F238E27FC236}">
              <a16:creationId xmlns:a16="http://schemas.microsoft.com/office/drawing/2014/main" id="{00000000-0008-0000-0100-00005E340000}"/>
            </a:ext>
          </a:extLst>
        </xdr:cNvPr>
        <xdr:cNvSpPr txBox="1">
          <a:spLocks noChangeArrowheads="1"/>
        </xdr:cNvSpPr>
      </xdr:nvSpPr>
      <xdr:spPr bwMode="auto">
        <a:xfrm>
          <a:off x="2913741" y="13674"/>
          <a:ext cx="3367609" cy="298642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lgDashDot"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このﾌｫｰﾑで試算できるのは4人までで、加入する月、手続きをする月が共に令和８年度中の場合です。金額はあくまで</a:t>
          </a:r>
          <a:r>
            <a:rPr lang="ja-JP" altLang="en-US" sz="8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概算</a:t>
          </a:r>
          <a:r>
            <a:rPr lang="ja-JP" altLang="en-US" sz="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です。</a:t>
          </a:r>
        </a:p>
      </xdr:txBody>
    </xdr:sp>
    <xdr:clientData/>
  </xdr:twoCellAnchor>
  <xdr:twoCellAnchor>
    <xdr:from>
      <xdr:col>0</xdr:col>
      <xdr:colOff>7034</xdr:colOff>
      <xdr:row>2</xdr:row>
      <xdr:rowOff>208</xdr:rowOff>
    </xdr:from>
    <xdr:to>
      <xdr:col>0</xdr:col>
      <xdr:colOff>215106</xdr:colOff>
      <xdr:row>7</xdr:row>
      <xdr:rowOff>114913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7034" y="324678"/>
          <a:ext cx="192649" cy="1053548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ctr" anchorCtr="0"/>
        <a:lstStyle/>
        <a:p>
          <a:pPr algn="ctr"/>
          <a:r>
            <a:rPr kumimoji="1" lang="ja-JP" altLang="en-US" sz="700" b="1"/>
            <a:t>条　件　設　定</a:t>
          </a:r>
        </a:p>
      </xdr:txBody>
    </xdr:sp>
    <xdr:clientData/>
  </xdr:twoCellAnchor>
  <xdr:twoCellAnchor>
    <xdr:from>
      <xdr:col>0</xdr:col>
      <xdr:colOff>7035</xdr:colOff>
      <xdr:row>9</xdr:row>
      <xdr:rowOff>1</xdr:rowOff>
    </xdr:from>
    <xdr:to>
      <xdr:col>0</xdr:col>
      <xdr:colOff>215107</xdr:colOff>
      <xdr:row>29</xdr:row>
      <xdr:rowOff>7680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/>
      </xdr:nvSpPr>
      <xdr:spPr>
        <a:xfrm>
          <a:off x="7035" y="1453244"/>
          <a:ext cx="211914" cy="1687285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ctr" anchorCtr="0"/>
        <a:lstStyle/>
        <a:p>
          <a:pPr algn="ctr"/>
          <a:r>
            <a:rPr kumimoji="1" lang="ja-JP" altLang="en-US" sz="700" b="1"/>
            <a:t>計　算　内　訳</a:t>
          </a:r>
        </a:p>
      </xdr:txBody>
    </xdr:sp>
    <xdr:clientData/>
  </xdr:twoCellAnchor>
  <xdr:twoCellAnchor>
    <xdr:from>
      <xdr:col>0</xdr:col>
      <xdr:colOff>8708</xdr:colOff>
      <xdr:row>30</xdr:row>
      <xdr:rowOff>3129</xdr:rowOff>
    </xdr:from>
    <xdr:to>
      <xdr:col>0</xdr:col>
      <xdr:colOff>216599</xdr:colOff>
      <xdr:row>36</xdr:row>
      <xdr:rowOff>0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/>
      </xdr:nvSpPr>
      <xdr:spPr>
        <a:xfrm>
          <a:off x="8708" y="3565479"/>
          <a:ext cx="192512" cy="996996"/>
        </a:xfrm>
        <a:prstGeom prst="rect">
          <a:avLst/>
        </a:prstGeom>
        <a:solidFill>
          <a:schemeClr val="tx2">
            <a:lumMod val="40000"/>
            <a:lumOff val="60000"/>
          </a:schemeClr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lIns="0" tIns="0" rIns="0" bIns="0" rtlCol="0" anchor="ctr" anchorCtr="0"/>
        <a:lstStyle/>
        <a:p>
          <a:pPr algn="ctr"/>
          <a:r>
            <a:rPr kumimoji="1" lang="ja-JP" altLang="en-US" sz="700" b="1"/>
            <a:t>試算結果</a:t>
          </a:r>
        </a:p>
      </xdr:txBody>
    </xdr:sp>
    <xdr:clientData/>
  </xdr:twoCellAnchor>
  <xdr:twoCellAnchor>
    <xdr:from>
      <xdr:col>8</xdr:col>
      <xdr:colOff>16390</xdr:colOff>
      <xdr:row>30</xdr:row>
      <xdr:rowOff>23131</xdr:rowOff>
    </xdr:from>
    <xdr:to>
      <xdr:col>9</xdr:col>
      <xdr:colOff>8187</xdr:colOff>
      <xdr:row>31</xdr:row>
      <xdr:rowOff>2464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 txBox="1"/>
      </xdr:nvSpPr>
      <xdr:spPr>
        <a:xfrm>
          <a:off x="1844092" y="3560942"/>
          <a:ext cx="452240" cy="137988"/>
        </a:xfrm>
        <a:prstGeom prst="rect">
          <a:avLst/>
        </a:prstGeom>
        <a:noFill/>
        <a:ln w="9525" cmpd="sng">
          <a:solidFill>
            <a:schemeClr val="tx2">
              <a:lumMod val="60000"/>
              <a:lumOff val="4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0" rIns="36000" bIns="0" rtlCol="0" anchor="ctr"/>
        <a:lstStyle/>
        <a:p>
          <a:pPr algn="ctr"/>
          <a:r>
            <a:rPr kumimoji="1" lang="ja-JP" altLang="en-US" sz="800" b="1"/>
            <a:t>概　要</a:t>
          </a:r>
        </a:p>
      </xdr:txBody>
    </xdr:sp>
    <xdr:clientData/>
  </xdr:twoCellAnchor>
  <xdr:twoCellAnchor>
    <xdr:from>
      <xdr:col>6</xdr:col>
      <xdr:colOff>404440</xdr:colOff>
      <xdr:row>24</xdr:row>
      <xdr:rowOff>57785</xdr:rowOff>
    </xdr:from>
    <xdr:to>
      <xdr:col>8</xdr:col>
      <xdr:colOff>3239</xdr:colOff>
      <xdr:row>24</xdr:row>
      <xdr:rowOff>57785</xdr:rowOff>
    </xdr:to>
    <xdr:cxnSp macro="">
      <xdr:nvCxnSpPr>
        <xdr:cNvPr id="10" name="直線矢印コネクタ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CxnSpPr/>
      </xdr:nvCxnSpPr>
      <xdr:spPr>
        <a:xfrm>
          <a:off x="1669774" y="2959100"/>
          <a:ext cx="114099" cy="0"/>
        </a:xfrm>
        <a:prstGeom prst="straightConnector1">
          <a:avLst/>
        </a:prstGeom>
        <a:ln w="15875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397814</xdr:colOff>
      <xdr:row>22</xdr:row>
      <xdr:rowOff>72097</xdr:rowOff>
    </xdr:from>
    <xdr:to>
      <xdr:col>8</xdr:col>
      <xdr:colOff>14931</xdr:colOff>
      <xdr:row>22</xdr:row>
      <xdr:rowOff>72097</xdr:rowOff>
    </xdr:to>
    <xdr:cxnSp macro="">
      <xdr:nvCxnSpPr>
        <xdr:cNvPr id="35" name="直線矢印コネクタ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CxnSpPr/>
      </xdr:nvCxnSpPr>
      <xdr:spPr>
        <a:xfrm>
          <a:off x="1663148" y="2827555"/>
          <a:ext cx="120990" cy="0"/>
        </a:xfrm>
        <a:prstGeom prst="straightConnector1">
          <a:avLst/>
        </a:prstGeom>
        <a:ln w="15875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312007</xdr:colOff>
      <xdr:row>2</xdr:row>
      <xdr:rowOff>18885</xdr:rowOff>
    </xdr:from>
    <xdr:to>
      <xdr:col>26</xdr:col>
      <xdr:colOff>186638</xdr:colOff>
      <xdr:row>4</xdr:row>
      <xdr:rowOff>102973</xdr:rowOff>
    </xdr:to>
    <xdr:sp macro="" textlink="">
      <xdr:nvSpPr>
        <xdr:cNvPr id="26" name="Text Box 77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 txBox="1">
          <a:spLocks noChangeArrowheads="1"/>
        </xdr:cNvSpPr>
      </xdr:nvSpPr>
      <xdr:spPr bwMode="auto">
        <a:xfrm>
          <a:off x="4759152" y="353547"/>
          <a:ext cx="3124716" cy="637568"/>
        </a:xfrm>
        <a:prstGeom prst="rect">
          <a:avLst/>
        </a:prstGeom>
        <a:noFill/>
        <a:ln>
          <a:noFill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600" b="1" i="0" u="none" strike="noStrike" baseline="0">
              <a:solidFill>
                <a:srgbClr val="0000FF"/>
              </a:solidFill>
              <a:latin typeface="ＭＳ Ｐゴシック"/>
              <a:ea typeface="+mn-ea"/>
            </a:rPr>
            <a:t>⑥国民健康保険加入者ではない世帯主</a:t>
          </a:r>
          <a:r>
            <a:rPr lang="en-US" altLang="ja-JP" sz="600" b="1" i="0" u="none" strike="noStrike" baseline="0">
              <a:solidFill>
                <a:srgbClr val="0000FF"/>
              </a:solidFill>
              <a:latin typeface="ＭＳ Ｐゴシック"/>
              <a:ea typeface="+mn-ea"/>
            </a:rPr>
            <a:t>(</a:t>
          </a:r>
          <a:r>
            <a:rPr lang="ja-JP" altLang="en-US" sz="600" b="1" i="0" u="none" strike="noStrike" baseline="0">
              <a:solidFill>
                <a:srgbClr val="0000FF"/>
              </a:solidFill>
              <a:latin typeface="ＭＳ Ｐゴシック"/>
              <a:ea typeface="+mn-ea"/>
            </a:rPr>
            <a:t>今回も加入しない</a:t>
          </a:r>
          <a:r>
            <a:rPr lang="en-US" altLang="ja-JP" sz="600" b="1" i="0" u="none" strike="noStrike" baseline="0">
              <a:solidFill>
                <a:srgbClr val="0000FF"/>
              </a:solidFill>
              <a:latin typeface="ＭＳ Ｐゴシック"/>
              <a:ea typeface="+mn-ea"/>
            </a:rPr>
            <a:t>)</a:t>
          </a:r>
          <a:r>
            <a:rPr lang="ja-JP" altLang="en-US" sz="600" b="1" i="0" u="none" strike="noStrike" baseline="0">
              <a:solidFill>
                <a:srgbClr val="0000FF"/>
              </a:solidFill>
              <a:latin typeface="ＭＳ Ｐゴシック"/>
              <a:ea typeface="+mn-ea"/>
            </a:rPr>
            <a:t>が居る場合は、その方の前年の総所得金額等を入力してください。居ない場合は０を入力してください。（軽減判定に必要です）</a:t>
          </a:r>
          <a:endParaRPr lang="ja-JP" altLang="en-US" sz="600" b="0" i="0" u="none" strike="noStrike" baseline="0">
            <a:solidFill>
              <a:srgbClr val="0000FF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17</xdr:col>
      <xdr:colOff>19049</xdr:colOff>
      <xdr:row>2</xdr:row>
      <xdr:rowOff>0</xdr:rowOff>
    </xdr:from>
    <xdr:to>
      <xdr:col>26</xdr:col>
      <xdr:colOff>225252</xdr:colOff>
      <xdr:row>8</xdr:row>
      <xdr:rowOff>19050</xdr:rowOff>
    </xdr:to>
    <xdr:sp macro="" textlink="">
      <xdr:nvSpPr>
        <xdr:cNvPr id="20795" name="Rectangle 34">
          <a:extLst>
            <a:ext uri="{FF2B5EF4-FFF2-40B4-BE49-F238E27FC236}">
              <a16:creationId xmlns:a16="http://schemas.microsoft.com/office/drawing/2014/main" id="{00000000-0008-0000-0100-00003B510000}"/>
            </a:ext>
          </a:extLst>
        </xdr:cNvPr>
        <xdr:cNvSpPr>
          <a:spLocks noChangeArrowheads="1"/>
        </xdr:cNvSpPr>
      </xdr:nvSpPr>
      <xdr:spPr bwMode="auto">
        <a:xfrm>
          <a:off x="4781549" y="334662"/>
          <a:ext cx="3140933" cy="1074523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27</xdr:col>
          <xdr:colOff>47625</xdr:colOff>
          <xdr:row>11</xdr:row>
          <xdr:rowOff>57150</xdr:rowOff>
        </xdr:from>
        <xdr:to>
          <xdr:col>29</xdr:col>
          <xdr:colOff>352425</xdr:colOff>
          <xdr:row>13</xdr:row>
          <xdr:rowOff>57150</xdr:rowOff>
        </xdr:to>
        <xdr:sp macro="" textlink="">
          <xdr:nvSpPr>
            <xdr:cNvPr id="15304" name="Button 1992" hidden="1">
              <a:extLst>
                <a:ext uri="{63B3BB69-23CF-44E3-9099-C40C66FF867C}">
                  <a14:compatExt spid="_x0000_s15304"/>
                </a:ext>
                <a:ext uri="{FF2B5EF4-FFF2-40B4-BE49-F238E27FC236}">
                  <a16:creationId xmlns:a16="http://schemas.microsoft.com/office/drawing/2014/main" id="{00000000-0008-0000-0100-0000C83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6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リセット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27</xdr:col>
          <xdr:colOff>47625</xdr:colOff>
          <xdr:row>9</xdr:row>
          <xdr:rowOff>9525</xdr:rowOff>
        </xdr:from>
        <xdr:to>
          <xdr:col>29</xdr:col>
          <xdr:colOff>352425</xdr:colOff>
          <xdr:row>10</xdr:row>
          <xdr:rowOff>76200</xdr:rowOff>
        </xdr:to>
        <xdr:sp macro="" textlink="">
          <xdr:nvSpPr>
            <xdr:cNvPr id="15305" name="Button 1993" hidden="1">
              <a:extLst>
                <a:ext uri="{63B3BB69-23CF-44E3-9099-C40C66FF867C}">
                  <a14:compatExt spid="_x0000_s15305"/>
                </a:ext>
                <a:ext uri="{FF2B5EF4-FFF2-40B4-BE49-F238E27FC236}">
                  <a16:creationId xmlns:a16="http://schemas.microsoft.com/office/drawing/2014/main" id="{00000000-0008-0000-0100-0000C93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6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印刷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9">
    <pageSetUpPr fitToPage="1"/>
  </sheetPr>
  <dimension ref="A1:BG97"/>
  <sheetViews>
    <sheetView showGridLines="0" tabSelected="1" showWhiteSpace="0" view="pageBreakPreview" zoomScale="148" zoomScaleNormal="115" zoomScaleSheetLayoutView="148" workbookViewId="0">
      <pane xSplit="30" topLeftCell="AE1" activePane="topRight" state="frozenSplit"/>
      <selection activeCell="A4" sqref="A4"/>
      <selection pane="topRight" activeCell="C5" sqref="C5"/>
    </sheetView>
  </sheetViews>
  <sheetFormatPr defaultRowHeight="9"/>
  <cols>
    <col min="1" max="1" width="3" style="6" customWidth="1"/>
    <col min="2" max="2" width="2.375" style="7" customWidth="1"/>
    <col min="3" max="3" width="5.5" style="7" customWidth="1"/>
    <col min="4" max="4" width="6.375" style="6" customWidth="1"/>
    <col min="5" max="5" width="1.875" style="6" customWidth="1"/>
    <col min="6" max="6" width="0.625" style="3" customWidth="1"/>
    <col min="7" max="7" width="6.125" style="6" customWidth="1"/>
    <col min="8" max="8" width="0.875" style="6" customWidth="1"/>
    <col min="9" max="9" width="6.375" style="6" customWidth="1"/>
    <col min="10" max="10" width="3.625" style="3" customWidth="1"/>
    <col min="11" max="11" width="3.5" style="6" customWidth="1"/>
    <col min="12" max="12" width="4" style="6" customWidth="1"/>
    <col min="13" max="13" width="0.5" style="6" customWidth="1"/>
    <col min="14" max="14" width="5.75" style="3" customWidth="1"/>
    <col min="15" max="15" width="4.375" style="6" customWidth="1"/>
    <col min="16" max="16" width="3.625" style="6" customWidth="1"/>
    <col min="17" max="17" width="4.125" style="6" customWidth="1"/>
    <col min="18" max="18" width="0.625" style="6" customWidth="1"/>
    <col min="19" max="19" width="5.5" style="6" customWidth="1"/>
    <col min="20" max="20" width="7.25" style="6" customWidth="1"/>
    <col min="21" max="21" width="4.25" style="6" customWidth="1"/>
    <col min="22" max="22" width="3.25" style="6" customWidth="1"/>
    <col min="23" max="23" width="0.75" style="35" customWidth="1"/>
    <col min="24" max="24" width="5.5" style="6" customWidth="1"/>
    <col min="25" max="25" width="7.25" style="6" customWidth="1"/>
    <col min="26" max="26" width="4.25" style="6" customWidth="1"/>
    <col min="27" max="27" width="3.25" style="6" customWidth="1"/>
    <col min="28" max="28" width="1.5" style="6" customWidth="1"/>
    <col min="29" max="29" width="2" style="6" customWidth="1"/>
    <col min="30" max="30" width="12.5" style="6" customWidth="1"/>
    <col min="31" max="31" width="1.25" style="6" hidden="1" customWidth="1"/>
    <col min="32" max="38" width="15.375" style="6" hidden="1" customWidth="1"/>
    <col min="39" max="39" width="19.625" style="6" hidden="1" customWidth="1"/>
    <col min="40" max="40" width="4.25" style="6" hidden="1" customWidth="1"/>
    <col min="41" max="41" width="6.25" style="6" hidden="1" customWidth="1"/>
    <col min="42" max="42" width="11.75" style="6" hidden="1" customWidth="1"/>
    <col min="43" max="43" width="12.5" style="6" hidden="1" customWidth="1"/>
    <col min="44" max="45" width="10.625" style="6" hidden="1" customWidth="1"/>
    <col min="46" max="46" width="9.75" style="6" hidden="1" customWidth="1"/>
    <col min="47" max="47" width="11.375" style="6" hidden="1" customWidth="1"/>
    <col min="48" max="48" width="13.5" style="6" hidden="1" customWidth="1"/>
    <col min="49" max="49" width="9.5" style="6" hidden="1" customWidth="1"/>
    <col min="50" max="50" width="13.375" style="6" hidden="1" customWidth="1"/>
    <col min="51" max="51" width="15.25" style="6" hidden="1" customWidth="1"/>
    <col min="52" max="52" width="11.375" style="6" hidden="1" customWidth="1"/>
    <col min="53" max="53" width="9.75" style="6" hidden="1" customWidth="1"/>
    <col min="54" max="54" width="16.5" style="6" hidden="1" customWidth="1"/>
    <col min="55" max="55" width="11.125" style="6" hidden="1" customWidth="1"/>
    <col min="56" max="56" width="2.75" style="6" hidden="1" customWidth="1"/>
    <col min="57" max="57" width="3.5" style="6" hidden="1" customWidth="1"/>
    <col min="58" max="58" width="5.75" style="6" hidden="1" customWidth="1"/>
    <col min="59" max="59" width="9" style="6" hidden="1" customWidth="1"/>
    <col min="60" max="16384" width="9" style="6"/>
  </cols>
  <sheetData>
    <row r="1" spans="1:57" ht="12.75" customHeight="1" thickBot="1">
      <c r="B1" s="1" t="s">
        <v>81</v>
      </c>
      <c r="C1" s="2"/>
      <c r="D1" s="2"/>
      <c r="E1" s="2"/>
      <c r="F1" s="2"/>
      <c r="G1" s="2"/>
      <c r="H1" s="2"/>
      <c r="I1" s="2"/>
      <c r="K1" s="4"/>
      <c r="L1" s="2"/>
      <c r="M1" s="2"/>
      <c r="N1" s="2"/>
      <c r="O1" s="2"/>
      <c r="P1" s="2"/>
      <c r="Q1" s="2"/>
      <c r="R1" s="5"/>
      <c r="AQ1" s="72"/>
      <c r="AR1" s="73" t="s">
        <v>19</v>
      </c>
      <c r="AS1" s="73"/>
      <c r="AT1" s="73"/>
      <c r="AU1" s="73"/>
      <c r="AV1" s="93"/>
      <c r="AW1" s="100" t="s">
        <v>64</v>
      </c>
      <c r="AX1" s="73"/>
      <c r="AY1" s="73"/>
      <c r="AZ1" s="73"/>
      <c r="BA1" s="73"/>
      <c r="BB1" s="73"/>
      <c r="BC1" s="73"/>
      <c r="BD1" s="73"/>
      <c r="BE1" s="74"/>
    </row>
    <row r="2" spans="1:57" ht="13.5" customHeight="1" thickBot="1">
      <c r="C2" s="8"/>
      <c r="D2" s="9"/>
      <c r="E2" s="10"/>
      <c r="F2" s="11"/>
      <c r="G2" s="12"/>
      <c r="J2" s="13"/>
      <c r="K2" s="12"/>
      <c r="L2" s="12"/>
      <c r="M2" s="12"/>
      <c r="N2" s="13"/>
      <c r="O2" s="14"/>
      <c r="P2" s="14"/>
      <c r="Q2" s="14"/>
      <c r="R2" s="5"/>
      <c r="AQ2" s="75"/>
      <c r="AR2" s="92" t="s">
        <v>4</v>
      </c>
      <c r="AS2" s="5"/>
      <c r="AT2" s="93">
        <v>430000</v>
      </c>
      <c r="AU2" s="5"/>
      <c r="AV2" s="5"/>
      <c r="AW2" s="5"/>
      <c r="AX2" s="5"/>
      <c r="AY2" s="5"/>
      <c r="AZ2" s="5"/>
      <c r="BA2" s="5"/>
      <c r="BB2" s="5"/>
      <c r="BC2" s="5"/>
      <c r="BD2" s="5"/>
      <c r="BE2" s="76"/>
    </row>
    <row r="3" spans="1:57" ht="16.5" customHeight="1">
      <c r="B3" s="16"/>
      <c r="C3" s="16"/>
      <c r="D3" s="9"/>
      <c r="E3" s="10"/>
      <c r="F3" s="11"/>
      <c r="G3" s="12"/>
      <c r="J3" s="13"/>
      <c r="K3" s="12"/>
      <c r="L3" s="14"/>
      <c r="M3" s="14"/>
      <c r="N3" s="14"/>
      <c r="O3" s="5"/>
      <c r="AN3" s="7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76"/>
    </row>
    <row r="4" spans="1:57" ht="27" customHeight="1" thickBot="1">
      <c r="B4" s="16"/>
      <c r="C4" s="16"/>
      <c r="D4" s="9"/>
      <c r="E4" s="10"/>
      <c r="F4" s="11"/>
      <c r="G4" s="12"/>
      <c r="J4" s="13"/>
      <c r="K4" s="12"/>
      <c r="L4" s="14"/>
      <c r="M4" s="14"/>
      <c r="N4" s="14"/>
      <c r="O4" s="5"/>
      <c r="AN4" s="75"/>
      <c r="AO4" s="17"/>
      <c r="AP4" s="139" t="s">
        <v>9</v>
      </c>
      <c r="AQ4" s="139" t="s">
        <v>10</v>
      </c>
      <c r="AR4" s="139" t="s">
        <v>11</v>
      </c>
      <c r="AS4" s="139" t="s">
        <v>79</v>
      </c>
      <c r="AT4" s="5"/>
      <c r="AU4" s="69" t="s">
        <v>54</v>
      </c>
      <c r="AV4" s="69" t="s">
        <v>55</v>
      </c>
      <c r="AW4" s="89" t="s">
        <v>56</v>
      </c>
      <c r="AX4" s="90" t="s">
        <v>57</v>
      </c>
      <c r="AY4" s="69" t="s">
        <v>63</v>
      </c>
      <c r="AZ4" s="69" t="s">
        <v>66</v>
      </c>
      <c r="BA4" s="69" t="s">
        <v>65</v>
      </c>
      <c r="BB4" s="76"/>
    </row>
    <row r="5" spans="1:57" ht="10.5" customHeight="1">
      <c r="B5" s="18"/>
      <c r="C5" s="65"/>
      <c r="D5" s="173" t="str">
        <f>IF(C5&lt;&gt;"","１人目","")</f>
        <v/>
      </c>
      <c r="E5" s="174"/>
      <c r="F5" s="175"/>
      <c r="G5" s="175"/>
      <c r="I5" s="19" t="str">
        <f>D5</f>
        <v/>
      </c>
      <c r="J5" s="20"/>
      <c r="K5" s="21"/>
      <c r="L5" s="22"/>
      <c r="N5" s="23" t="str">
        <f>IF(AR44=0,"","月から")</f>
        <v/>
      </c>
      <c r="O5" s="5"/>
      <c r="P5" s="22"/>
      <c r="Q5" s="23" t="str">
        <f>IF(AR44=0,"","月に")</f>
        <v/>
      </c>
      <c r="AN5" s="75"/>
      <c r="AO5" s="91" t="s">
        <v>5</v>
      </c>
      <c r="AP5" s="135">
        <v>8.2900000000000001E-2</v>
      </c>
      <c r="AQ5" s="141">
        <v>2.8000000000000001E-2</v>
      </c>
      <c r="AR5" s="145">
        <v>2.41E-2</v>
      </c>
      <c r="AS5" s="145">
        <v>2.8999999999999998E-3</v>
      </c>
      <c r="AT5" s="5"/>
      <c r="AU5" s="5" t="s">
        <v>67</v>
      </c>
      <c r="AV5" s="94">
        <v>430000</v>
      </c>
      <c r="AW5" s="95">
        <v>0</v>
      </c>
      <c r="AX5" s="151">
        <f>AV5</f>
        <v>430000</v>
      </c>
      <c r="AY5" s="7" t="str">
        <f>IF(AX5&gt;=F17,"７割軽減","")</f>
        <v/>
      </c>
      <c r="AZ5" s="7" t="str">
        <f>IF(AY5="７割軽減","○","")</f>
        <v/>
      </c>
      <c r="BA5" s="5" t="str">
        <f>"世帯の軽減判定所得が"&amp;AX5/10000&amp;"万円以下なので、均等割と平等割が"&amp;AY5&amp;"になります。"</f>
        <v>世帯の軽減判定所得が43万円以下なので、均等割と平等割がになります。</v>
      </c>
      <c r="BB5" s="76"/>
    </row>
    <row r="6" spans="1:57" ht="10.5" customHeight="1">
      <c r="C6" s="24"/>
      <c r="D6" s="174" t="str">
        <f>IF(OR(C5="２人",C5="３人",C5="４人"),"２人目","")</f>
        <v/>
      </c>
      <c r="E6" s="174"/>
      <c r="F6" s="176"/>
      <c r="G6" s="176"/>
      <c r="I6" s="19" t="str">
        <f>D6</f>
        <v/>
      </c>
      <c r="J6" s="20"/>
      <c r="K6" s="21"/>
      <c r="L6" s="179" t="str">
        <f>IF(AR44=0,"","加入します。")</f>
        <v/>
      </c>
      <c r="M6" s="180"/>
      <c r="N6" s="180"/>
      <c r="P6" s="24" t="str">
        <f>IF(AR44=0,"","手続きします。")</f>
        <v/>
      </c>
      <c r="AN6" s="75"/>
      <c r="AO6" s="91" t="s">
        <v>6</v>
      </c>
      <c r="AP6" s="136">
        <v>0</v>
      </c>
      <c r="AQ6" s="142">
        <v>0</v>
      </c>
      <c r="AR6" s="146">
        <v>0</v>
      </c>
      <c r="AS6" s="146">
        <v>0</v>
      </c>
      <c r="AT6" s="5"/>
      <c r="AU6" s="5" t="s">
        <v>52</v>
      </c>
      <c r="AV6" s="96">
        <v>430000</v>
      </c>
      <c r="AW6" s="97">
        <v>305000</v>
      </c>
      <c r="AX6" s="5">
        <f>AV6+AW6*$AR$44</f>
        <v>430000</v>
      </c>
      <c r="AY6" s="7" t="str">
        <f>IF(AX6&gt;=F17,"５割軽減","")</f>
        <v/>
      </c>
      <c r="AZ6" s="7" t="str">
        <f>IF(AND(AY6="５割軽減",AY5=""),"○","")</f>
        <v/>
      </c>
      <c r="BA6" s="5" t="str">
        <f>"世帯の軽減判定所得が"&amp;AX6/10000&amp;"万円以下なので、均等割と平等割が"&amp;AY6&amp;"になります。"</f>
        <v>世帯の軽減判定所得が43万円以下なので、均等割と平等割がになります。</v>
      </c>
      <c r="BB6" s="76"/>
    </row>
    <row r="7" spans="1:57" ht="9" customHeight="1" thickBot="1">
      <c r="C7" s="24"/>
      <c r="D7" s="174" t="str">
        <f>IF(OR(C5="３人",C5="４人"),"３人目","")</f>
        <v/>
      </c>
      <c r="E7" s="174"/>
      <c r="F7" s="176"/>
      <c r="G7" s="176"/>
      <c r="I7" s="19" t="str">
        <f>D7</f>
        <v/>
      </c>
      <c r="J7" s="20"/>
      <c r="K7" s="21"/>
      <c r="L7" s="195"/>
      <c r="M7" s="195"/>
      <c r="N7" s="195"/>
      <c r="O7" s="5"/>
      <c r="R7" s="132"/>
      <c r="S7" s="132"/>
      <c r="T7" s="134">
        <v>0</v>
      </c>
      <c r="U7" s="131" t="str">
        <f>IF(AR44=0,"","円")</f>
        <v/>
      </c>
      <c r="X7" s="132"/>
      <c r="Y7" s="131"/>
      <c r="Z7" s="131"/>
      <c r="AN7" s="75"/>
      <c r="AO7" s="91" t="s">
        <v>7</v>
      </c>
      <c r="AP7" s="137">
        <v>35500</v>
      </c>
      <c r="AQ7" s="143">
        <v>11900</v>
      </c>
      <c r="AR7" s="147">
        <v>12200</v>
      </c>
      <c r="AS7" s="146">
        <v>1300</v>
      </c>
      <c r="AT7" s="5"/>
      <c r="AU7" s="5" t="s">
        <v>53</v>
      </c>
      <c r="AV7" s="98">
        <v>430000</v>
      </c>
      <c r="AW7" s="99">
        <v>560000</v>
      </c>
      <c r="AX7" s="5">
        <f>AV7+AW7*$AR$44</f>
        <v>430000</v>
      </c>
      <c r="AY7" s="7" t="str">
        <f>IF(AX7&gt;=F17,"２割軽減","")</f>
        <v/>
      </c>
      <c r="AZ7" s="7" t="str">
        <f>IF(AND(AY7="２割軽減",AY6=""),"○","")</f>
        <v/>
      </c>
      <c r="BA7" s="5" t="str">
        <f>"世帯の軽減判定所得が"&amp;AX7/10000&amp;"万円以下なので、均等割と平等割が"&amp;AY7&amp;"になります。"</f>
        <v>世帯の軽減判定所得が43万円以下なので、均等割と平等割がになります。</v>
      </c>
      <c r="BB7" s="76"/>
    </row>
    <row r="8" spans="1:57" ht="9" customHeight="1" thickBot="1">
      <c r="C8" s="27"/>
      <c r="D8" s="174" t="str">
        <f>IF(C5="４人","４人目","")</f>
        <v/>
      </c>
      <c r="E8" s="174"/>
      <c r="F8" s="176"/>
      <c r="G8" s="176"/>
      <c r="I8" s="19" t="str">
        <f>D8</f>
        <v/>
      </c>
      <c r="J8" s="20"/>
      <c r="K8" s="21"/>
      <c r="L8" s="26"/>
      <c r="M8" s="26"/>
      <c r="N8" s="26"/>
      <c r="O8" s="5"/>
      <c r="AN8" s="75"/>
      <c r="AO8" s="91" t="s">
        <v>8</v>
      </c>
      <c r="AP8" s="138">
        <v>22800</v>
      </c>
      <c r="AQ8" s="144">
        <v>7700</v>
      </c>
      <c r="AR8" s="148">
        <v>6000</v>
      </c>
      <c r="AS8" s="149">
        <v>800</v>
      </c>
      <c r="AT8" s="5"/>
      <c r="AU8" s="5"/>
      <c r="AV8" s="5"/>
      <c r="AW8" s="5"/>
      <c r="AX8" s="5"/>
      <c r="AY8" s="5"/>
      <c r="AZ8" s="5">
        <f>COUNTIF(AZ5:AZ7,"○")</f>
        <v>0</v>
      </c>
      <c r="BA8" s="5"/>
      <c r="BB8" s="76"/>
    </row>
    <row r="9" spans="1:57" ht="4.9000000000000004" customHeight="1">
      <c r="C9" s="106"/>
      <c r="D9" s="19"/>
      <c r="E9" s="19"/>
      <c r="F9" s="104"/>
      <c r="G9" s="104"/>
      <c r="H9" s="35"/>
      <c r="I9" s="105"/>
      <c r="J9" s="20"/>
      <c r="K9" s="21"/>
      <c r="L9" s="21"/>
      <c r="M9" s="28"/>
      <c r="N9" s="13"/>
      <c r="O9" s="26"/>
      <c r="P9" s="26"/>
      <c r="Q9" s="26"/>
      <c r="R9" s="5"/>
      <c r="AQ9" s="75"/>
      <c r="AR9" s="188" t="s">
        <v>24</v>
      </c>
      <c r="AS9" s="71"/>
      <c r="AT9" s="190">
        <v>670000</v>
      </c>
      <c r="AU9" s="260">
        <v>260000</v>
      </c>
      <c r="AV9" s="181">
        <v>170000</v>
      </c>
      <c r="AW9" s="181">
        <v>30000</v>
      </c>
      <c r="AX9" s="5"/>
      <c r="AY9" s="5"/>
      <c r="AZ9" s="5"/>
      <c r="BA9" s="5"/>
      <c r="BB9" s="5"/>
      <c r="BC9" s="5"/>
      <c r="BD9" s="5"/>
      <c r="BE9" s="76"/>
    </row>
    <row r="10" spans="1:57" ht="13.15" customHeight="1">
      <c r="B10" s="177"/>
      <c r="C10" s="178" t="s">
        <v>49</v>
      </c>
      <c r="D10" s="178" t="s">
        <v>12</v>
      </c>
      <c r="E10" s="178"/>
      <c r="F10" s="178"/>
      <c r="G10" s="178"/>
      <c r="I10" s="194" t="s">
        <v>3</v>
      </c>
      <c r="J10" s="194"/>
      <c r="K10" s="194"/>
      <c r="L10" s="194"/>
      <c r="M10" s="30"/>
      <c r="N10" s="196" t="s">
        <v>13</v>
      </c>
      <c r="O10" s="196"/>
      <c r="P10" s="196"/>
      <c r="Q10" s="196"/>
      <c r="R10" s="30"/>
      <c r="S10" s="193" t="s">
        <v>50</v>
      </c>
      <c r="T10" s="193"/>
      <c r="U10" s="193"/>
      <c r="V10" s="193"/>
      <c r="W10" s="169"/>
      <c r="X10" s="259" t="s">
        <v>80</v>
      </c>
      <c r="Y10" s="259"/>
      <c r="Z10" s="259"/>
      <c r="AA10" s="259"/>
      <c r="AQ10" s="75"/>
      <c r="AR10" s="188"/>
      <c r="AS10" s="71"/>
      <c r="AT10" s="191"/>
      <c r="AU10" s="261"/>
      <c r="AV10" s="182"/>
      <c r="AW10" s="182"/>
      <c r="AX10" s="5"/>
      <c r="AY10" s="5"/>
      <c r="AZ10" s="5"/>
      <c r="BA10" s="5"/>
      <c r="BB10" s="5"/>
      <c r="BC10" s="5" t="str">
        <f>IF(AND(AY5&lt;&gt;"",AZ5&lt;&gt;""),AY5,IF(AND(AY6&lt;&gt;"",AZ6&lt;&gt;""),AY6,IF(AND(AY7&lt;&gt;"",AZ7&lt;&gt;""),AY7,"")))</f>
        <v/>
      </c>
      <c r="BD10" s="5"/>
      <c r="BE10" s="76"/>
    </row>
    <row r="11" spans="1:57" ht="11.45" customHeight="1" thickBot="1">
      <c r="A11" s="30"/>
      <c r="B11" s="177"/>
      <c r="C11" s="178"/>
      <c r="D11" s="178"/>
      <c r="E11" s="178"/>
      <c r="F11" s="178"/>
      <c r="G11" s="178"/>
      <c r="H11" s="30"/>
      <c r="I11" s="185" t="s">
        <v>14</v>
      </c>
      <c r="J11" s="185"/>
      <c r="K11" s="185" t="s">
        <v>15</v>
      </c>
      <c r="L11" s="185"/>
      <c r="M11" s="30"/>
      <c r="N11" s="185" t="s">
        <v>14</v>
      </c>
      <c r="O11" s="185"/>
      <c r="P11" s="185" t="s">
        <v>15</v>
      </c>
      <c r="Q11" s="185"/>
      <c r="R11" s="30"/>
      <c r="S11" s="185" t="s">
        <v>14</v>
      </c>
      <c r="T11" s="185"/>
      <c r="U11" s="185" t="s">
        <v>15</v>
      </c>
      <c r="V11" s="185"/>
      <c r="W11" s="169"/>
      <c r="X11" s="185" t="s">
        <v>14</v>
      </c>
      <c r="Y11" s="185"/>
      <c r="Z11" s="185" t="s">
        <v>15</v>
      </c>
      <c r="AA11" s="185"/>
      <c r="AB11" s="30"/>
      <c r="AC11" s="30"/>
      <c r="AD11" s="30"/>
      <c r="AE11" s="30"/>
      <c r="AF11" s="30"/>
      <c r="AG11" s="30"/>
      <c r="AH11" s="30"/>
      <c r="AI11" s="30"/>
      <c r="AJ11" s="30"/>
      <c r="AK11" s="30"/>
      <c r="AL11" s="30"/>
      <c r="AM11" s="30"/>
      <c r="AQ11" s="75"/>
      <c r="AR11" s="189"/>
      <c r="AS11" s="71"/>
      <c r="AT11" s="192"/>
      <c r="AU11" s="262"/>
      <c r="AV11" s="183"/>
      <c r="AW11" s="183"/>
      <c r="AX11" s="5"/>
      <c r="AY11" s="5"/>
      <c r="AZ11" s="5"/>
      <c r="BA11" s="5"/>
      <c r="BB11" s="5"/>
      <c r="BD11" s="5"/>
      <c r="BE11" s="76"/>
    </row>
    <row r="12" spans="1:57" s="30" customFormat="1" ht="9.75" customHeight="1">
      <c r="A12" s="6"/>
      <c r="B12" s="220">
        <v>1</v>
      </c>
      <c r="C12" s="220" t="s">
        <v>0</v>
      </c>
      <c r="D12" s="234" t="s">
        <v>78</v>
      </c>
      <c r="E12" s="234"/>
      <c r="F12" s="203" t="str">
        <f>IF(C5="","",IF((F5-AT2)&gt;0,(F5-AT2),0))</f>
        <v/>
      </c>
      <c r="G12" s="203"/>
      <c r="H12" s="6"/>
      <c r="I12" s="185" t="str">
        <f>(AP5*100)&amp;"%"</f>
        <v>8.29%</v>
      </c>
      <c r="J12" s="185"/>
      <c r="K12" s="184" t="str">
        <f>IF(F12="","",ROUNDDOWN((F12*$AP$5),0))</f>
        <v/>
      </c>
      <c r="L12" s="184"/>
      <c r="M12" s="3"/>
      <c r="N12" s="185" t="str">
        <f>(AQ5*100)&amp;"%"</f>
        <v>2.8%</v>
      </c>
      <c r="O12" s="185"/>
      <c r="P12" s="184" t="str">
        <f>IF(F12="","",ROUNDDOWN((F12*$AQ$5),0))</f>
        <v/>
      </c>
      <c r="Q12" s="184"/>
      <c r="R12" s="6"/>
      <c r="S12" s="185" t="str">
        <f>(AR5*100)&amp;"%"</f>
        <v>2.41%</v>
      </c>
      <c r="T12" s="185"/>
      <c r="U12" s="184" t="str">
        <f>IF(OR(F12="",J5="",J5="　",J5="いいえ"),"",ROUNDDOWN((F12*$AR$5),0))</f>
        <v/>
      </c>
      <c r="V12" s="184"/>
      <c r="W12" s="170"/>
      <c r="X12" s="185" t="str">
        <f>(AS5*100)&amp;"%"</f>
        <v>0.29%</v>
      </c>
      <c r="Y12" s="185"/>
      <c r="Z12" s="184" t="str">
        <f>IF(OR(F12="",L5="",L5="　",L5="いいえ"),"",ROUNDDOWN((F12*$AS$5),0))</f>
        <v/>
      </c>
      <c r="AA12" s="184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Q12" s="77"/>
      <c r="AR12" s="71"/>
      <c r="AS12" s="71"/>
      <c r="AT12" s="34"/>
      <c r="AU12" s="34"/>
      <c r="AV12" s="34"/>
      <c r="AW12" s="5"/>
      <c r="AX12" s="5"/>
      <c r="AY12" s="5"/>
      <c r="AZ12" s="5"/>
      <c r="BA12" s="5"/>
      <c r="BB12" s="5"/>
      <c r="BC12" s="5"/>
      <c r="BD12" s="5"/>
      <c r="BE12" s="76"/>
    </row>
    <row r="13" spans="1:57" ht="9.75" customHeight="1">
      <c r="B13" s="220"/>
      <c r="C13" s="220"/>
      <c r="D13" s="234"/>
      <c r="E13" s="234"/>
      <c r="F13" s="203" t="str">
        <f>IF(OR(C5="",C5="１人"),"",IF((F6-AT2)&gt;0,(F6-AT2),0))</f>
        <v/>
      </c>
      <c r="G13" s="203"/>
      <c r="I13" s="185"/>
      <c r="J13" s="185"/>
      <c r="K13" s="184" t="str">
        <f>IF(F13="","",ROUNDDOWN((F13*$AP$5),0))</f>
        <v/>
      </c>
      <c r="L13" s="184"/>
      <c r="M13" s="3"/>
      <c r="N13" s="185"/>
      <c r="O13" s="185"/>
      <c r="P13" s="184" t="str">
        <f>IF(F13="","",ROUNDDOWN((F13*$AQ$5),0))</f>
        <v/>
      </c>
      <c r="Q13" s="184"/>
      <c r="S13" s="185"/>
      <c r="T13" s="185"/>
      <c r="U13" s="184" t="str">
        <f>IF(OR(F13="",J6="",J6="　",J6="いいえ"),"",ROUNDDOWN((F13*$AR$5),0))</f>
        <v/>
      </c>
      <c r="V13" s="184"/>
      <c r="W13" s="170"/>
      <c r="X13" s="185"/>
      <c r="Y13" s="185"/>
      <c r="Z13" s="184" t="str">
        <f>IF(OR(F13="",J6="",J6="　",J6="いいえ"),"",ROUNDDOWN((F13*$AS$5),0))</f>
        <v/>
      </c>
      <c r="AA13" s="184"/>
      <c r="AQ13" s="75"/>
      <c r="AR13" s="71"/>
      <c r="AS13" s="71"/>
      <c r="AT13" s="34"/>
      <c r="AU13" s="34"/>
      <c r="AV13" s="34"/>
      <c r="AW13" s="5"/>
      <c r="AX13" s="5"/>
      <c r="AY13" s="5"/>
      <c r="AZ13" s="5"/>
      <c r="BA13" s="5"/>
      <c r="BB13" s="5"/>
      <c r="BC13" s="5"/>
      <c r="BD13" s="5"/>
      <c r="BE13" s="76"/>
    </row>
    <row r="14" spans="1:57" ht="9.75" customHeight="1">
      <c r="B14" s="220"/>
      <c r="C14" s="220"/>
      <c r="D14" s="234"/>
      <c r="E14" s="234"/>
      <c r="F14" s="203" t="str">
        <f>IF(OR(C5="",C5="１人",C5="２人"),"",IF((F7-AT2)&gt;0,(F7-AT2),0))</f>
        <v/>
      </c>
      <c r="G14" s="203"/>
      <c r="I14" s="185"/>
      <c r="J14" s="185"/>
      <c r="K14" s="184" t="str">
        <f>IF(F14="","",ROUNDDOWN((F14*$AP$5),0))</f>
        <v/>
      </c>
      <c r="L14" s="184"/>
      <c r="M14" s="3"/>
      <c r="N14" s="185"/>
      <c r="O14" s="185"/>
      <c r="P14" s="184" t="str">
        <f>IF(F14="","",ROUNDDOWN((F14*$AQ$5),0))</f>
        <v/>
      </c>
      <c r="Q14" s="184"/>
      <c r="S14" s="185"/>
      <c r="T14" s="185"/>
      <c r="U14" s="184" t="str">
        <f>IF(OR(F14="",J7="",J7="　",J7="いいえ"),"",ROUNDDOWN((F14*$AR$5),0))</f>
        <v/>
      </c>
      <c r="V14" s="184"/>
      <c r="W14" s="170"/>
      <c r="X14" s="185"/>
      <c r="Y14" s="185"/>
      <c r="Z14" s="184" t="str">
        <f>IF(OR(F14="",J7="",J7="　",J7="いいえ"),"",ROUNDDOWN((F14*$AS$5),0))</f>
        <v/>
      </c>
      <c r="AA14" s="184"/>
      <c r="AQ14" s="75"/>
      <c r="AR14" s="71"/>
      <c r="AS14" s="71"/>
      <c r="AT14" s="34"/>
      <c r="AU14" s="34"/>
      <c r="AV14" s="34"/>
      <c r="AW14" s="5"/>
      <c r="AX14" s="5"/>
      <c r="AY14" s="5"/>
      <c r="AZ14" s="5"/>
      <c r="BA14" s="5"/>
      <c r="BB14" s="5"/>
      <c r="BC14" s="5"/>
      <c r="BD14" s="5"/>
      <c r="BE14" s="76"/>
    </row>
    <row r="15" spans="1:57" ht="9.75" customHeight="1">
      <c r="B15" s="220"/>
      <c r="C15" s="220"/>
      <c r="D15" s="234"/>
      <c r="E15" s="234"/>
      <c r="F15" s="203" t="str">
        <f>IF(OR(C5="",C5="１人",C5="２人",C5="３人"),"",IF((F8-AT2)&gt;0,(F8-AT2),0))</f>
        <v/>
      </c>
      <c r="G15" s="203"/>
      <c r="I15" s="185"/>
      <c r="J15" s="185"/>
      <c r="K15" s="184" t="str">
        <f>IF(F15="","",ROUNDDOWN((F15*$AP$5),0))</f>
        <v/>
      </c>
      <c r="L15" s="184"/>
      <c r="M15" s="3"/>
      <c r="N15" s="185"/>
      <c r="O15" s="185"/>
      <c r="P15" s="184" t="str">
        <f>IF(F15="","",ROUNDDOWN((F15*$AQ$5),0))</f>
        <v/>
      </c>
      <c r="Q15" s="184"/>
      <c r="S15" s="185"/>
      <c r="T15" s="185"/>
      <c r="U15" s="184" t="str">
        <f>IF(OR(F15="",J8="",J8="　",J8="いいえ"),"",ROUNDDOWN((F15*$AR$5),0))</f>
        <v/>
      </c>
      <c r="V15" s="184"/>
      <c r="W15" s="170"/>
      <c r="X15" s="185"/>
      <c r="Y15" s="185"/>
      <c r="Z15" s="184" t="str">
        <f>IF(OR(F15="",J8="",J8="　",J8="いいえ"),"",ROUNDDOWN((F15*$AS$5),0))</f>
        <v/>
      </c>
      <c r="AA15" s="184"/>
      <c r="AQ15" s="75"/>
      <c r="AR15" s="71"/>
      <c r="AS15" s="71"/>
      <c r="AT15" s="34"/>
      <c r="AU15" s="34"/>
      <c r="AV15" s="34"/>
      <c r="AW15" s="5"/>
      <c r="AX15" s="5"/>
      <c r="AY15" s="5"/>
      <c r="AZ15" s="5"/>
      <c r="BA15" s="5"/>
      <c r="BB15" s="5"/>
      <c r="BC15" s="5"/>
      <c r="BD15" s="5"/>
      <c r="BE15" s="76"/>
    </row>
    <row r="16" spans="1:57" ht="9.75" customHeight="1">
      <c r="B16" s="220"/>
      <c r="C16" s="220"/>
      <c r="D16" s="178" t="s">
        <v>18</v>
      </c>
      <c r="E16" s="178"/>
      <c r="F16" s="203">
        <f>SUM(F12:G15)</f>
        <v>0</v>
      </c>
      <c r="G16" s="203"/>
      <c r="I16" s="178" t="s">
        <v>18</v>
      </c>
      <c r="J16" s="178"/>
      <c r="K16" s="186">
        <f>SUM(K12:L15)</f>
        <v>0</v>
      </c>
      <c r="L16" s="187"/>
      <c r="M16" s="3"/>
      <c r="N16" s="178" t="s">
        <v>18</v>
      </c>
      <c r="O16" s="178"/>
      <c r="P16" s="184">
        <f>SUM(P12:Q15)</f>
        <v>0</v>
      </c>
      <c r="Q16" s="184"/>
      <c r="S16" s="178" t="s">
        <v>18</v>
      </c>
      <c r="T16" s="178"/>
      <c r="U16" s="184">
        <f>SUM(U12:V15)</f>
        <v>0</v>
      </c>
      <c r="V16" s="184"/>
      <c r="W16" s="170"/>
      <c r="X16" s="178" t="s">
        <v>18</v>
      </c>
      <c r="Y16" s="178"/>
      <c r="Z16" s="184">
        <f>SUM(Z12:AA15)</f>
        <v>0</v>
      </c>
      <c r="AA16" s="184"/>
      <c r="AB16" s="5"/>
      <c r="AC16" s="5"/>
      <c r="AD16" s="5"/>
      <c r="AQ16" s="75"/>
      <c r="AR16" s="71"/>
      <c r="AS16" s="71"/>
      <c r="AT16" s="34"/>
      <c r="AU16" s="34"/>
      <c r="AW16" s="5"/>
      <c r="AX16" s="5"/>
      <c r="AY16" s="5"/>
      <c r="AZ16" s="5"/>
      <c r="BA16" s="5"/>
      <c r="BB16" s="5"/>
      <c r="BC16" s="5"/>
      <c r="BD16" s="5"/>
      <c r="BE16" s="76"/>
    </row>
    <row r="17" spans="1:57" ht="9.75" customHeight="1">
      <c r="B17" s="229" t="s">
        <v>69</v>
      </c>
      <c r="C17" s="230"/>
      <c r="D17" s="227" t="s">
        <v>68</v>
      </c>
      <c r="E17" s="228"/>
      <c r="F17" s="240" t="str">
        <f>IF(AR44=0,"",IF(AR44=1,F5+T7,IF(AR44=2,F5+F6+T7,IF(AR44=3,F5+F6+F7+T7,SUM(F5:G8)+T7))))</f>
        <v/>
      </c>
      <c r="G17" s="241"/>
      <c r="I17" s="209" t="str">
        <f>IF(OR(C5="",F5="",T7=""),"",IF(AZ8=0,"世帯の軽減判定所得が基準額を超えているので軽減はありません。※この世帯の基準額は"&amp;AX7/10000&amp;"万円","↓↓↓"&amp;VLOOKUP("○",AZ5:BA7,2,FALSE)&amp;"↓↓↓"))</f>
        <v/>
      </c>
      <c r="J17" s="210"/>
      <c r="K17" s="210"/>
      <c r="L17" s="210"/>
      <c r="M17" s="210"/>
      <c r="N17" s="210"/>
      <c r="O17" s="210"/>
      <c r="P17" s="210"/>
      <c r="Q17" s="210"/>
      <c r="R17" s="210"/>
      <c r="S17" s="210"/>
      <c r="T17" s="210"/>
      <c r="U17" s="210"/>
      <c r="V17" s="211"/>
      <c r="W17" s="171"/>
      <c r="X17" s="150"/>
      <c r="Y17" s="150"/>
      <c r="Z17" s="150"/>
      <c r="AA17" s="150"/>
      <c r="AB17" s="133"/>
      <c r="AC17" s="5"/>
      <c r="AD17" s="5"/>
      <c r="AQ17" s="75"/>
      <c r="AR17" s="71"/>
      <c r="AS17" s="71"/>
      <c r="AT17" s="34"/>
      <c r="AU17" s="34"/>
      <c r="AV17" s="34"/>
      <c r="AW17" s="5"/>
      <c r="AX17" s="5"/>
      <c r="AY17" s="5"/>
      <c r="AZ17" s="5"/>
      <c r="BA17" s="5"/>
      <c r="BB17" s="5"/>
      <c r="BC17" s="5"/>
      <c r="BD17" s="5"/>
      <c r="BE17" s="76"/>
    </row>
    <row r="18" spans="1:57" ht="1.1499999999999999" customHeight="1">
      <c r="AB18" s="35"/>
      <c r="AC18" s="35"/>
      <c r="AD18" s="35"/>
      <c r="AQ18" s="75"/>
      <c r="AR18" s="71"/>
      <c r="AS18" s="71"/>
      <c r="AT18" s="34"/>
      <c r="AU18" s="34"/>
      <c r="AV18" s="34"/>
      <c r="AW18" s="5"/>
      <c r="AX18" s="5"/>
      <c r="AY18" s="5"/>
      <c r="AZ18" s="5"/>
      <c r="BA18" s="5"/>
      <c r="BB18" s="5"/>
      <c r="BC18" s="5"/>
      <c r="BD18" s="5"/>
      <c r="BE18" s="76"/>
    </row>
    <row r="19" spans="1:57" ht="9" customHeight="1">
      <c r="B19" s="31">
        <v>2</v>
      </c>
      <c r="C19" s="31" t="s">
        <v>1</v>
      </c>
      <c r="D19" s="234" t="s">
        <v>16</v>
      </c>
      <c r="E19" s="234"/>
      <c r="F19" s="234"/>
      <c r="G19" s="234"/>
      <c r="I19" s="140">
        <f>AP7</f>
        <v>35500</v>
      </c>
      <c r="J19" s="111" t="str">
        <f>IF(OR(C5="",F5="",R7=""),"",IF($BC$10="７割軽減","×0.3",IF($BC$10="５割軽減","×0.5",IF($BC$10="２割軽減","×0.8",""))))</f>
        <v/>
      </c>
      <c r="K19" s="184" t="str">
        <f>IF(OR(C5="",F5="",J5=""),"",IF(C5="","",IF(BC10="７割軽減",AY41*AR44,IF(BC10="５割軽減",AY42*AR44,IF(BC10="２割軽減",AY43*AR44,AP7*AR44)))))</f>
        <v/>
      </c>
      <c r="L19" s="184"/>
      <c r="M19" s="3"/>
      <c r="N19" s="140">
        <f>AQ7</f>
        <v>11900</v>
      </c>
      <c r="O19" s="111" t="str">
        <f>IF(OR(C5="",F5="",R7=""),"",IF($BC$10="７割軽減","×0.3",IF($BC$10="５割軽減","×0.5",IF($BC$10="２割軽減","×0.8",""))))</f>
        <v/>
      </c>
      <c r="P19" s="184" t="str">
        <f>IF(OR(C5="",F5="",J5=""),"",IF(C5="","",IF(BC10="７割軽減",AZ41*AR44,IF(BC10="５割軽減",AZ42*AR44,IF(BC10="２割軽減",AZ43*AR44,AQ7*AR44)))))</f>
        <v/>
      </c>
      <c r="Q19" s="184"/>
      <c r="S19" s="140">
        <f>AR7</f>
        <v>12200</v>
      </c>
      <c r="T19" s="111" t="str">
        <f>IF(OR(C5="",F5="",R7=""),"",IF($AT$44=0,"",IF($BC$10="７割軽減","×0.3",IF($BC$10="５割軽減","×0.5",IF($BC$10="２割軽減","×0.8","")))))</f>
        <v/>
      </c>
      <c r="U19" s="203" t="str">
        <f>IF(OR(C5="",F5="",J5=""),"",IF(AT44&gt;0,IF(BC10="７割軽減",BA41*AT44,IF(BC10="５割軽減",BA42*AT44,IF(BC10="２割軽減",BA43*AT44,AR7*AT44))),""))</f>
        <v/>
      </c>
      <c r="V19" s="203"/>
      <c r="W19" s="172"/>
      <c r="X19" s="168">
        <f>AS7</f>
        <v>1300</v>
      </c>
      <c r="Y19" s="111" t="str">
        <f>IF(OR(G5="",J5="",V7=""),"",IF($AT$44=0,"",IF($BC$10="７割軽減","×0.3",IF($BC$10="５割軽減","×0.5",IF($BC$10="２割軽減","×0.8","")))))</f>
        <v/>
      </c>
      <c r="Z19" s="184" t="str">
        <f>IF(OR(C5="",F5="",J5=""),"",IF(C5="","",IF(BC10="７割軽減",BB41*AU44,IF(BC10="５割軽減",BB42*AU44,IF(BC10="２割軽減",BB43*AU44,AS7*AU44)))))</f>
        <v/>
      </c>
      <c r="AA19" s="184"/>
      <c r="AB19" s="35"/>
      <c r="AC19" s="35"/>
      <c r="AD19" s="35"/>
      <c r="AE19" s="3"/>
      <c r="AF19" s="3"/>
      <c r="AG19" s="3"/>
      <c r="AH19" s="3"/>
      <c r="AI19" s="3"/>
      <c r="AJ19" s="3"/>
      <c r="AK19" s="3"/>
      <c r="AL19" s="3"/>
      <c r="AM19" s="3"/>
      <c r="AQ19" s="75"/>
      <c r="AR19" s="71"/>
      <c r="AS19" s="71"/>
      <c r="AT19" s="34"/>
      <c r="AU19" s="34"/>
      <c r="AV19" s="34"/>
      <c r="AW19" s="5"/>
      <c r="AX19" s="5"/>
      <c r="AY19" s="5"/>
      <c r="AZ19" s="5"/>
      <c r="BA19" s="5"/>
      <c r="BB19" s="5"/>
      <c r="BC19" s="5"/>
      <c r="BD19" s="5"/>
      <c r="BE19" s="76"/>
    </row>
    <row r="20" spans="1:57" s="3" customFormat="1" ht="1.1499999999999999" customHeight="1">
      <c r="A20" s="6"/>
      <c r="B20" s="103"/>
      <c r="C20" s="103"/>
      <c r="D20" s="107"/>
      <c r="E20" s="107"/>
      <c r="F20" s="107"/>
      <c r="G20" s="107"/>
      <c r="H20" s="5"/>
      <c r="I20" s="108"/>
      <c r="J20" s="108"/>
      <c r="K20" s="109"/>
      <c r="L20" s="109"/>
      <c r="M20" s="35"/>
      <c r="N20" s="108"/>
      <c r="O20" s="108"/>
      <c r="P20" s="109"/>
      <c r="Q20" s="109"/>
      <c r="R20" s="5"/>
      <c r="S20" s="108"/>
      <c r="T20" s="108"/>
      <c r="U20" s="109"/>
      <c r="V20" s="109"/>
      <c r="W20" s="170"/>
      <c r="X20" s="108"/>
      <c r="Y20" s="108"/>
      <c r="Z20" s="109"/>
      <c r="AA20" s="109"/>
      <c r="AB20" s="5"/>
      <c r="AC20" s="5"/>
      <c r="AD20" s="5"/>
      <c r="AQ20" s="78"/>
      <c r="AR20" s="71"/>
      <c r="AS20" s="71"/>
      <c r="AT20" s="34"/>
      <c r="AU20" s="34"/>
      <c r="AV20" s="34"/>
      <c r="AW20" s="5"/>
      <c r="AX20" s="5"/>
      <c r="AY20" s="5"/>
      <c r="AZ20" s="5"/>
      <c r="BA20" s="5"/>
      <c r="BB20" s="5"/>
      <c r="BC20" s="5"/>
      <c r="BD20" s="5"/>
      <c r="BE20" s="76"/>
    </row>
    <row r="21" spans="1:57" s="3" customFormat="1" ht="9" customHeight="1">
      <c r="B21" s="31">
        <v>3</v>
      </c>
      <c r="C21" s="31" t="s">
        <v>2</v>
      </c>
      <c r="D21" s="234" t="s">
        <v>17</v>
      </c>
      <c r="E21" s="234"/>
      <c r="F21" s="234"/>
      <c r="G21" s="234"/>
      <c r="I21" s="140">
        <f>AP8</f>
        <v>22800</v>
      </c>
      <c r="J21" s="111" t="str">
        <f>IF(OR(C5="",F5="",R7=""),"",IF($BC$10="７割軽減","×0.3",IF($BC$10="５割軽減","×0.5",IF($BC$10="２割軽減","×0.8",""))))</f>
        <v/>
      </c>
      <c r="K21" s="203" t="str">
        <f>IF(OR(C5="",F5="",J5=""),"",IF((C5&lt;&gt;""),IF(BC10="７割軽減",AY45,IF(BC10="５割軽減",AY46,IF(BC10="２割軽減",AY47,AP8))),""))</f>
        <v/>
      </c>
      <c r="L21" s="203"/>
      <c r="N21" s="140">
        <f>AQ8</f>
        <v>7700</v>
      </c>
      <c r="O21" s="111" t="str">
        <f>IF(OR(C5="",F5="",R7=""),"",IF($BC$10="７割軽減","×0.3",IF($BC$10="５割軽減","×0.5",IF($BC$10="２割軽減","×0.8",""))))</f>
        <v/>
      </c>
      <c r="P21" s="203" t="str">
        <f>IF(OR(C5="",F5="",J5=""),"",IF((C5&lt;&gt;""),IF(BC10="７割軽減",AZ45,IF(BC10="５割軽減",AZ46,IF(BC10="２割軽減",AZ47,AQ8))),""))</f>
        <v/>
      </c>
      <c r="Q21" s="203"/>
      <c r="S21" s="140">
        <f>AR8</f>
        <v>6000</v>
      </c>
      <c r="T21" s="111" t="str">
        <f>IF(OR(C5="",F5="",R7=""),"",IF($AT$44=0,"",IF($BC$10="７割軽減","×0.3",IF($BC$10="５割軽減","×0.5",IF($BC$10="２割軽減","×0.8","")))))</f>
        <v/>
      </c>
      <c r="U21" s="203" t="str">
        <f>IF(OR(C5="",F5="",J5=""),"",IF((U19&lt;&gt;""),IF(BC10="７割軽減",BA45,IF(BC10="５割軽減",BA46,IF(BC10="２割軽減",BA47,AR8))),""))</f>
        <v/>
      </c>
      <c r="V21" s="203"/>
      <c r="W21" s="170"/>
      <c r="X21" s="140">
        <f>AS8</f>
        <v>800</v>
      </c>
      <c r="Y21" s="111" t="str">
        <f>IF(OR(G5="",J5="",V7=""),"",IF($AT$44=0,"",IF($BC$10="７割軽減","×0.3",IF($BC$10="５割軽減","×0.5",IF($BC$10="２割軽減","×0.8","")))))</f>
        <v/>
      </c>
      <c r="Z21" s="203" t="str">
        <f>IF(OR(C5="",F5="",J5=""),"",IF((Z19&lt;&gt;""),IF(BC10="７割軽減",BE45,IF(BC10="５割軽減",BE46,IF(BC10="２割軽減",BB47,AS8))),""))</f>
        <v/>
      </c>
      <c r="AA21" s="203"/>
      <c r="AB21" s="35"/>
      <c r="AC21" s="35"/>
      <c r="AD21" s="35"/>
      <c r="AE21" s="6"/>
      <c r="AF21" s="6"/>
      <c r="AG21" s="6"/>
      <c r="AH21" s="6"/>
      <c r="AI21" s="6"/>
      <c r="AJ21" s="6"/>
      <c r="AK21" s="6"/>
      <c r="AL21" s="6"/>
      <c r="AM21" s="6"/>
      <c r="AQ21" s="78"/>
      <c r="AR21" s="71"/>
      <c r="AS21" s="71"/>
      <c r="AT21" s="34"/>
      <c r="AU21" s="34"/>
      <c r="AV21" s="34"/>
      <c r="AW21" s="5"/>
      <c r="AX21" s="5"/>
      <c r="AY21" s="5"/>
      <c r="AZ21" s="5"/>
      <c r="BA21" s="5"/>
      <c r="BB21" s="5"/>
      <c r="BC21" s="5"/>
      <c r="BD21" s="5"/>
      <c r="BE21" s="76"/>
    </row>
    <row r="22" spans="1:57" ht="1.1499999999999999" customHeight="1">
      <c r="A22" s="3"/>
      <c r="B22" s="32"/>
      <c r="C22" s="32"/>
      <c r="D22" s="25"/>
      <c r="E22" s="25"/>
      <c r="F22" s="25"/>
      <c r="G22" s="25"/>
      <c r="H22" s="3"/>
      <c r="I22" s="33"/>
      <c r="J22" s="33"/>
      <c r="K22" s="34"/>
      <c r="L22" s="34"/>
      <c r="M22" s="35"/>
      <c r="N22" s="33"/>
      <c r="O22" s="33"/>
      <c r="P22" s="34"/>
      <c r="Q22" s="34"/>
      <c r="R22" s="35"/>
      <c r="S22" s="33"/>
      <c r="T22" s="33"/>
      <c r="U22" s="34"/>
      <c r="V22" s="34"/>
      <c r="W22" s="170"/>
      <c r="X22" s="33"/>
      <c r="Y22" s="33"/>
      <c r="Z22" s="34"/>
      <c r="AA22" s="34"/>
      <c r="AB22" s="35"/>
      <c r="AC22" s="35"/>
      <c r="AD22" s="35"/>
      <c r="AE22" s="35"/>
      <c r="AF22" s="35"/>
      <c r="AG22" s="35"/>
      <c r="AH22" s="35"/>
      <c r="AI22" s="35"/>
      <c r="AJ22" s="35"/>
      <c r="AK22" s="35"/>
      <c r="AL22" s="35"/>
      <c r="AM22" s="35"/>
      <c r="AQ22" s="75"/>
      <c r="AR22" s="71"/>
      <c r="AS22" s="71"/>
      <c r="AT22" s="34"/>
      <c r="AU22" s="34"/>
      <c r="AV22" s="34"/>
      <c r="AW22" s="5"/>
      <c r="AX22" s="5"/>
      <c r="AY22" s="5"/>
      <c r="AZ22" s="5"/>
      <c r="BA22" s="5"/>
      <c r="BB22" s="5"/>
      <c r="BC22" s="5"/>
      <c r="BD22" s="5"/>
      <c r="BE22" s="76"/>
    </row>
    <row r="23" spans="1:57" s="35" customFormat="1" ht="9" customHeight="1">
      <c r="A23" s="6"/>
      <c r="B23" s="245" t="s">
        <v>51</v>
      </c>
      <c r="C23" s="246"/>
      <c r="D23" s="246"/>
      <c r="E23" s="246"/>
      <c r="F23" s="246"/>
      <c r="G23" s="247"/>
      <c r="H23" s="6"/>
      <c r="I23" s="178" t="s">
        <v>25</v>
      </c>
      <c r="J23" s="178"/>
      <c r="K23" s="197">
        <f>SUM(K16:L21)</f>
        <v>0</v>
      </c>
      <c r="L23" s="198"/>
      <c r="M23" s="6"/>
      <c r="N23" s="178" t="s">
        <v>26</v>
      </c>
      <c r="O23" s="178"/>
      <c r="P23" s="197">
        <f>SUM(P16:Q21)</f>
        <v>0</v>
      </c>
      <c r="Q23" s="198"/>
      <c r="R23" s="5"/>
      <c r="S23" s="178" t="s">
        <v>27</v>
      </c>
      <c r="T23" s="178"/>
      <c r="U23" s="207">
        <f>SUM(U16:V21)</f>
        <v>0</v>
      </c>
      <c r="V23" s="208"/>
      <c r="W23" s="41"/>
      <c r="X23" s="178" t="s">
        <v>27</v>
      </c>
      <c r="Y23" s="178"/>
      <c r="Z23" s="257">
        <f>SUM(Z16:AA21)</f>
        <v>0</v>
      </c>
      <c r="AA23" s="258"/>
      <c r="AQ23" s="78"/>
      <c r="AR23" s="71"/>
      <c r="AS23" s="71"/>
      <c r="AT23" s="34"/>
      <c r="AU23" s="34"/>
      <c r="AV23" s="34"/>
      <c r="AW23" s="5"/>
      <c r="AX23" s="5"/>
      <c r="AY23" s="5"/>
      <c r="AZ23" s="5"/>
      <c r="BA23" s="5"/>
      <c r="BB23" s="5"/>
      <c r="BC23" s="5"/>
      <c r="BD23" s="5"/>
      <c r="BE23" s="76"/>
    </row>
    <row r="24" spans="1:57" s="35" customFormat="1" ht="1.1499999999999999" customHeight="1">
      <c r="B24" s="248"/>
      <c r="C24" s="249"/>
      <c r="D24" s="249"/>
      <c r="E24" s="249"/>
      <c r="F24" s="249"/>
      <c r="G24" s="250"/>
      <c r="AQ24" s="78"/>
      <c r="AR24" s="71"/>
      <c r="AS24" s="71"/>
      <c r="AT24" s="34"/>
      <c r="AU24" s="34"/>
      <c r="AV24" s="34"/>
      <c r="AW24" s="5"/>
      <c r="AX24" s="5"/>
      <c r="AY24" s="5"/>
      <c r="AZ24" s="5"/>
      <c r="BA24" s="5"/>
      <c r="BB24" s="5"/>
      <c r="BC24" s="5"/>
      <c r="BD24" s="5"/>
      <c r="BE24" s="76"/>
    </row>
    <row r="25" spans="1:57" s="35" customFormat="1" ht="9" customHeight="1">
      <c r="B25" s="251"/>
      <c r="C25" s="252"/>
      <c r="D25" s="252"/>
      <c r="E25" s="252"/>
      <c r="F25" s="252"/>
      <c r="G25" s="253"/>
      <c r="I25" s="178" t="s">
        <v>23</v>
      </c>
      <c r="J25" s="178"/>
      <c r="K25" s="197">
        <f>AT9</f>
        <v>670000</v>
      </c>
      <c r="L25" s="198"/>
      <c r="M25" s="37"/>
      <c r="N25" s="178" t="s">
        <v>23</v>
      </c>
      <c r="O25" s="178"/>
      <c r="P25" s="197">
        <f>AU9</f>
        <v>260000</v>
      </c>
      <c r="Q25" s="198"/>
      <c r="R25" s="37"/>
      <c r="S25" s="178" t="s">
        <v>23</v>
      </c>
      <c r="T25" s="178"/>
      <c r="U25" s="197">
        <f>AV9</f>
        <v>170000</v>
      </c>
      <c r="V25" s="198"/>
      <c r="W25" s="41"/>
      <c r="X25" s="178" t="s">
        <v>23</v>
      </c>
      <c r="Y25" s="178"/>
      <c r="Z25" s="197">
        <f>AW9</f>
        <v>30000</v>
      </c>
      <c r="AA25" s="198"/>
      <c r="AQ25" s="78"/>
      <c r="AR25" s="71"/>
      <c r="AS25" s="71"/>
      <c r="AT25" s="34"/>
      <c r="AU25" s="34"/>
      <c r="AV25" s="34"/>
      <c r="AW25" s="5"/>
      <c r="AX25" s="5"/>
      <c r="AY25" s="5"/>
      <c r="AZ25" s="5"/>
      <c r="BA25" s="5"/>
      <c r="BB25" s="5"/>
      <c r="BC25" s="5"/>
      <c r="BD25" s="5"/>
      <c r="BE25" s="76"/>
    </row>
    <row r="26" spans="1:57" s="35" customFormat="1" ht="1.1499999999999999" customHeight="1">
      <c r="B26" s="38"/>
      <c r="C26" s="38"/>
      <c r="D26" s="38"/>
      <c r="E26" s="38"/>
      <c r="F26" s="38"/>
      <c r="G26" s="38"/>
      <c r="I26" s="39"/>
      <c r="J26" s="39"/>
      <c r="K26" s="40"/>
      <c r="L26" s="41"/>
      <c r="M26" s="37"/>
      <c r="N26" s="39"/>
      <c r="O26" s="42"/>
      <c r="P26" s="43"/>
      <c r="Q26" s="44"/>
      <c r="R26" s="37"/>
      <c r="S26" s="42"/>
      <c r="T26" s="42"/>
      <c r="U26" s="43"/>
      <c r="V26" s="44"/>
      <c r="W26" s="41"/>
      <c r="X26" s="42"/>
      <c r="Y26" s="42"/>
      <c r="Z26" s="43"/>
      <c r="AA26" s="44"/>
      <c r="AB26" s="48"/>
      <c r="AC26" s="47"/>
      <c r="AD26" s="47"/>
      <c r="AQ26" s="78"/>
      <c r="AR26" s="71"/>
      <c r="AS26" s="71"/>
      <c r="AT26" s="34"/>
      <c r="AU26" s="34"/>
      <c r="AV26" s="34"/>
      <c r="AW26" s="5"/>
      <c r="AX26" s="5"/>
      <c r="AY26" s="5"/>
      <c r="AZ26" s="5"/>
      <c r="BA26" s="5"/>
      <c r="BB26" s="5"/>
      <c r="BC26" s="5"/>
      <c r="BD26" s="5"/>
      <c r="BE26" s="76"/>
    </row>
    <row r="27" spans="1:57" s="35" customFormat="1" ht="9" customHeight="1">
      <c r="B27" s="242" t="s">
        <v>36</v>
      </c>
      <c r="C27" s="243"/>
      <c r="D27" s="243"/>
      <c r="E27" s="243"/>
      <c r="F27" s="243"/>
      <c r="G27" s="244"/>
      <c r="I27" s="110" t="s">
        <v>29</v>
      </c>
      <c r="J27" s="201" t="str">
        <f>IF(AR44=0,"",ROUNDDOWN((AT46),-2))</f>
        <v/>
      </c>
      <c r="K27" s="201"/>
      <c r="L27" s="201"/>
      <c r="M27" s="45"/>
      <c r="N27" s="110" t="s">
        <v>30</v>
      </c>
      <c r="O27" s="204" t="str">
        <f>IF(AR44=0,"",ROUNDDOWN((AU46),-2))</f>
        <v/>
      </c>
      <c r="P27" s="205"/>
      <c r="Q27" s="206"/>
      <c r="R27" s="46"/>
      <c r="S27" s="110" t="s">
        <v>31</v>
      </c>
      <c r="T27" s="214" t="str">
        <f>IF(AR44=0,"",ROUNDDOWN((AV46),-2))</f>
        <v/>
      </c>
      <c r="U27" s="215"/>
      <c r="V27" s="216"/>
      <c r="W27" s="117"/>
      <c r="X27" s="110" t="s">
        <v>84</v>
      </c>
      <c r="Y27" s="254" t="str">
        <f>IF(AU44=0,"",ROUNDDOWN((AW46),-2))</f>
        <v/>
      </c>
      <c r="Z27" s="255"/>
      <c r="AA27" s="256"/>
      <c r="AB27" s="48"/>
      <c r="AC27" s="6"/>
      <c r="AD27" s="6"/>
      <c r="AE27" s="47"/>
      <c r="AF27" s="47"/>
      <c r="AG27" s="47"/>
      <c r="AH27" s="47"/>
      <c r="AI27" s="47"/>
      <c r="AJ27" s="47"/>
      <c r="AK27" s="47"/>
      <c r="AL27" s="47"/>
      <c r="AM27" s="47"/>
      <c r="AQ27" s="78"/>
      <c r="AR27" s="71"/>
      <c r="AS27" s="71"/>
      <c r="AT27" s="34"/>
      <c r="AU27" s="34"/>
      <c r="AV27" s="34"/>
      <c r="AW27" s="5"/>
      <c r="AX27" s="5"/>
      <c r="AY27" s="5"/>
      <c r="AZ27" s="5"/>
      <c r="BA27" s="5"/>
      <c r="BB27" s="5"/>
      <c r="BC27" s="5"/>
      <c r="BD27" s="5"/>
      <c r="BE27" s="76"/>
    </row>
    <row r="28" spans="1:57" s="47" customFormat="1" ht="1.1499999999999999" customHeight="1">
      <c r="A28" s="35"/>
      <c r="B28" s="115"/>
      <c r="C28" s="115"/>
      <c r="D28" s="115"/>
      <c r="E28" s="115"/>
      <c r="F28" s="115"/>
      <c r="G28" s="115"/>
      <c r="H28" s="35"/>
      <c r="I28" s="116"/>
      <c r="J28" s="117"/>
      <c r="K28" s="117"/>
      <c r="L28" s="117"/>
      <c r="M28" s="46"/>
      <c r="N28" s="116"/>
      <c r="O28" s="117"/>
      <c r="P28" s="117"/>
      <c r="Q28" s="117"/>
      <c r="R28" s="46"/>
      <c r="S28" s="116"/>
      <c r="T28" s="117"/>
      <c r="U28" s="117"/>
      <c r="V28" s="117"/>
      <c r="W28" s="117"/>
      <c r="X28" s="116"/>
      <c r="Y28" s="117"/>
      <c r="Z28" s="117"/>
      <c r="AA28" s="117"/>
      <c r="AB28" s="48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Q28" s="78"/>
      <c r="AR28" s="71"/>
      <c r="AS28" s="71"/>
      <c r="AT28" s="34"/>
      <c r="AU28" s="34"/>
      <c r="AV28" s="34"/>
      <c r="AW28" s="5"/>
      <c r="AX28" s="5"/>
      <c r="AY28" s="5"/>
      <c r="AZ28" s="5"/>
      <c r="BA28" s="5"/>
      <c r="BB28" s="5"/>
      <c r="BC28" s="5"/>
      <c r="BD28" s="5"/>
      <c r="BE28" s="76"/>
    </row>
    <row r="29" spans="1:57" ht="2.25" customHeight="1">
      <c r="A29" s="68"/>
      <c r="B29" s="115"/>
      <c r="C29" s="115"/>
      <c r="D29" s="115"/>
      <c r="E29" s="115"/>
      <c r="F29" s="115"/>
      <c r="G29" s="115"/>
      <c r="H29" s="35"/>
      <c r="I29" s="116"/>
      <c r="J29" s="117"/>
      <c r="K29" s="117"/>
      <c r="L29" s="117"/>
      <c r="M29" s="46"/>
      <c r="N29" s="116"/>
      <c r="O29" s="117"/>
      <c r="P29" s="117"/>
      <c r="Q29" s="117"/>
      <c r="R29" s="46"/>
      <c r="S29" s="116"/>
      <c r="T29" s="117"/>
      <c r="U29" s="117"/>
      <c r="V29" s="117"/>
      <c r="W29" s="117"/>
      <c r="X29" s="116"/>
      <c r="Y29" s="117"/>
      <c r="Z29" s="117"/>
      <c r="AA29" s="117"/>
      <c r="AB29" s="48"/>
      <c r="AQ29" s="78"/>
      <c r="AR29" s="71"/>
      <c r="AS29" s="71"/>
      <c r="AT29" s="34"/>
      <c r="AU29" s="34"/>
      <c r="AV29" s="34"/>
      <c r="AW29" s="5"/>
      <c r="AX29" s="5"/>
      <c r="AY29" s="5"/>
      <c r="AZ29" s="5"/>
      <c r="BA29" s="5"/>
      <c r="BB29" s="5"/>
      <c r="BC29" s="5"/>
      <c r="BD29" s="5"/>
      <c r="BE29" s="76"/>
    </row>
    <row r="30" spans="1:57" ht="2.25" customHeight="1">
      <c r="A30" s="68"/>
      <c r="B30" s="115"/>
      <c r="C30" s="115"/>
      <c r="D30" s="115"/>
      <c r="E30" s="115"/>
      <c r="F30" s="115"/>
      <c r="G30" s="115"/>
      <c r="H30" s="35"/>
      <c r="I30" s="163"/>
      <c r="J30" s="161"/>
      <c r="K30" s="161"/>
      <c r="L30" s="161"/>
      <c r="M30" s="162"/>
      <c r="N30" s="163"/>
      <c r="O30" s="161"/>
      <c r="P30" s="161"/>
      <c r="Q30" s="161"/>
      <c r="R30" s="162"/>
      <c r="S30" s="163"/>
      <c r="T30" s="161"/>
      <c r="U30" s="161"/>
      <c r="V30" s="161"/>
      <c r="W30" s="117"/>
      <c r="X30" s="163"/>
      <c r="Y30" s="161"/>
      <c r="Z30" s="161"/>
      <c r="AA30" s="161"/>
      <c r="AQ30" s="79"/>
      <c r="AR30" s="71"/>
      <c r="AS30" s="71"/>
      <c r="AT30" s="34"/>
      <c r="AU30" s="34"/>
      <c r="AV30" s="34"/>
      <c r="AW30" s="5"/>
      <c r="AX30" s="5"/>
      <c r="AY30" s="5"/>
      <c r="AZ30" s="5"/>
      <c r="BA30" s="5"/>
      <c r="BB30" s="5"/>
      <c r="BC30" s="5"/>
      <c r="BD30" s="5"/>
      <c r="BE30" s="76"/>
    </row>
    <row r="31" spans="1:57" ht="11.25" customHeight="1">
      <c r="B31" s="235" t="s">
        <v>70</v>
      </c>
      <c r="C31" s="236"/>
      <c r="D31" s="236"/>
      <c r="E31" s="236"/>
      <c r="F31" s="236"/>
      <c r="G31" s="237"/>
      <c r="H31" s="159"/>
      <c r="I31" s="152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X31" s="35"/>
      <c r="Y31" s="35"/>
      <c r="Z31" s="35"/>
      <c r="AA31" s="164"/>
      <c r="AQ31" s="75"/>
      <c r="AR31" s="71"/>
      <c r="AS31" s="71"/>
      <c r="AT31" s="34"/>
      <c r="AU31" s="34"/>
      <c r="AV31" s="34"/>
      <c r="AW31" s="5"/>
      <c r="AX31" s="5"/>
      <c r="AY31" s="5"/>
      <c r="AZ31" s="5"/>
      <c r="BA31" s="5"/>
      <c r="BB31" s="5"/>
      <c r="BC31" s="5"/>
      <c r="BD31" s="5"/>
      <c r="BE31" s="80"/>
    </row>
    <row r="32" spans="1:57" ht="11.45" customHeight="1">
      <c r="B32" s="238" t="str">
        <f>IF(OR(C5="",F5="",J5="",L5="",P5=""),"",J32)</f>
        <v/>
      </c>
      <c r="C32" s="222"/>
      <c r="D32" s="222"/>
      <c r="E32" s="222"/>
      <c r="F32" s="222"/>
      <c r="G32" s="239" t="str">
        <f>IF(B32="","","円")</f>
        <v/>
      </c>
      <c r="H32" s="160"/>
      <c r="I32" s="120" t="str">
        <f>IF(OR(AR44=0,B32=""),"","年額は、")</f>
        <v/>
      </c>
      <c r="J32" s="202" t="str">
        <f>IF(OR(AR44=0,J5=""),"",J27+O27+T27+Y27)</f>
        <v/>
      </c>
      <c r="K32" s="202"/>
      <c r="L32" s="120" t="str">
        <f>IF(OR(AR44=0,B32=""),"","円です。ひと月あたりにすると、約")</f>
        <v/>
      </c>
      <c r="M32" s="120"/>
      <c r="N32" s="120"/>
      <c r="O32" s="120"/>
      <c r="P32" s="121"/>
      <c r="Q32" s="121"/>
      <c r="R32" s="200" t="str">
        <f>IF(OR(AR44=0,B32=""),"",ROUNDDOWN((J27+O27+T27+Y27)/12,0))</f>
        <v/>
      </c>
      <c r="S32" s="200"/>
      <c r="T32" s="120" t="str">
        <f>IF(OR(AR44=0,B32=""),"","円です。")</f>
        <v/>
      </c>
      <c r="U32" s="122"/>
      <c r="V32" s="122"/>
      <c r="W32" s="122"/>
      <c r="X32" s="122"/>
      <c r="Y32" s="120" t="str">
        <f>IF(OR(AV44=0,F32=""),"","円です。")</f>
        <v/>
      </c>
      <c r="Z32" s="122"/>
      <c r="AA32" s="165"/>
      <c r="AB32" s="5"/>
      <c r="AQ32" s="75"/>
      <c r="AR32" s="71"/>
      <c r="AS32" s="71"/>
      <c r="AT32" s="34"/>
      <c r="AU32" s="34"/>
      <c r="AV32" s="34"/>
      <c r="AW32" s="5"/>
      <c r="AX32" s="5"/>
      <c r="AY32" s="5"/>
      <c r="AZ32" s="5"/>
      <c r="BA32" s="5"/>
      <c r="BB32" s="5"/>
      <c r="BC32" s="5"/>
      <c r="BD32" s="5"/>
      <c r="BE32" s="76"/>
    </row>
    <row r="33" spans="1:57" ht="11.45" customHeight="1">
      <c r="B33" s="238"/>
      <c r="C33" s="222"/>
      <c r="D33" s="222"/>
      <c r="E33" s="222"/>
      <c r="F33" s="222"/>
      <c r="G33" s="239"/>
      <c r="H33" s="3"/>
      <c r="I33" s="153" t="str">
        <f>IF(OR(L5="",AR44=0,B32=""),""," "&amp;L5&amp;"月に加入すると年度末（３月末）までの加入月数は "&amp;VLOOKUP(L5,AT79:AU91,2,FALSE)&amp;"ヵ月ですから、")</f>
        <v/>
      </c>
      <c r="J33" s="123"/>
      <c r="K33" s="120"/>
      <c r="L33" s="123"/>
      <c r="M33" s="120"/>
      <c r="N33" s="120"/>
      <c r="O33" s="120"/>
      <c r="P33" s="124"/>
      <c r="Q33" s="124"/>
      <c r="R33" s="122"/>
      <c r="S33" s="122"/>
      <c r="T33" s="122"/>
      <c r="U33" s="35"/>
      <c r="V33" s="35"/>
      <c r="X33" s="122"/>
      <c r="Y33" s="122"/>
      <c r="Z33" s="35"/>
      <c r="AA33" s="166"/>
      <c r="AB33" s="5"/>
      <c r="AQ33" s="75"/>
      <c r="AR33" s="71"/>
      <c r="AS33" s="71"/>
      <c r="AT33" s="34"/>
      <c r="AU33" s="34"/>
      <c r="AV33" s="34"/>
      <c r="AW33" s="5"/>
      <c r="AX33" s="5"/>
      <c r="AY33" s="5"/>
      <c r="AZ33" s="5"/>
      <c r="BA33" s="5"/>
      <c r="BB33" s="5"/>
      <c r="BC33" s="5"/>
      <c r="BD33" s="5"/>
      <c r="BE33" s="76"/>
    </row>
    <row r="34" spans="1:57" ht="11.45" customHeight="1">
      <c r="B34" s="231" t="str">
        <f>IF(B35="","","年税額　（加入月数"&amp;VLOOKUP(L5,AT79:AU91,2,FALSE)&amp;"ヵ月分)")</f>
        <v/>
      </c>
      <c r="C34" s="232"/>
      <c r="D34" s="232"/>
      <c r="E34" s="232"/>
      <c r="F34" s="232"/>
      <c r="G34" s="233"/>
      <c r="H34" s="3"/>
      <c r="I34" s="154" t="str">
        <f>IF(OR(L5="",AR44=0,B32=""),"","ひと月あたり　　"&amp;R32&amp;"円　×　"&amp;VLOOKUP(L5,AT79:AU91,2,FALSE)&amp;"ヵ月で、年税額")</f>
        <v/>
      </c>
      <c r="J34" s="121"/>
      <c r="K34" s="125"/>
      <c r="L34" s="125"/>
      <c r="M34" s="126"/>
      <c r="N34" s="126"/>
      <c r="O34" s="125"/>
      <c r="P34" s="125"/>
      <c r="Q34" s="199" t="str">
        <f>IF(OR(L5="",AR44=0,B32=""),"",VLOOKUP(L5,AT79:AV91,3,FALSE))</f>
        <v/>
      </c>
      <c r="R34" s="199"/>
      <c r="S34" s="199"/>
      <c r="T34" s="120" t="str">
        <f>IF(OR(L5="",AR44=0,B32=""),"","円になります。")</f>
        <v/>
      </c>
      <c r="U34" s="35"/>
      <c r="V34" s="35"/>
      <c r="X34" s="35"/>
      <c r="Y34" s="120" t="str">
        <f>IF(OR(P5="",AV44=0,F32=""),"","円になります。")</f>
        <v/>
      </c>
      <c r="Z34" s="35"/>
      <c r="AA34" s="166"/>
      <c r="AB34" s="5"/>
      <c r="AQ34" s="75"/>
      <c r="AR34" s="71"/>
      <c r="AS34" s="71"/>
      <c r="AT34" s="34"/>
      <c r="AU34" s="34"/>
      <c r="AV34" s="34"/>
      <c r="AW34" s="5"/>
      <c r="AX34" s="5"/>
      <c r="AY34" s="5"/>
      <c r="AZ34" s="5"/>
      <c r="BA34" s="5"/>
      <c r="BB34" s="5"/>
      <c r="BC34" s="5"/>
      <c r="BD34" s="5"/>
      <c r="BE34" s="76"/>
    </row>
    <row r="35" spans="1:57" ht="11.45" customHeight="1">
      <c r="B35" s="221" t="str">
        <f>IF(L5="","",Q34)</f>
        <v/>
      </c>
      <c r="C35" s="222"/>
      <c r="D35" s="222"/>
      <c r="E35" s="222"/>
      <c r="F35" s="222"/>
      <c r="G35" s="225" t="str">
        <f>IF(B35="","","円")</f>
        <v/>
      </c>
      <c r="H35" s="49"/>
      <c r="I35" s="218" t="str">
        <f>IF(OR(P5="",AR44=0,B32=""),"",(" "&amp;P5&amp;"月に手続きをすると、納期は "&amp;VLOOKUP(P5,AT80:AX91,5,FALSE)&amp;"です。"))</f>
        <v/>
      </c>
      <c r="J35" s="219"/>
      <c r="K35" s="219"/>
      <c r="L35" s="219"/>
      <c r="M35" s="219"/>
      <c r="N35" s="219"/>
      <c r="O35" s="219"/>
      <c r="P35" s="219"/>
      <c r="Q35" s="219"/>
      <c r="R35" s="219"/>
      <c r="S35" s="219"/>
      <c r="T35" s="122"/>
      <c r="U35" s="35"/>
      <c r="V35" s="35"/>
      <c r="X35" s="35"/>
      <c r="Y35" s="122"/>
      <c r="Z35" s="35"/>
      <c r="AA35" s="166"/>
      <c r="AB35" s="5"/>
      <c r="AQ35" s="75"/>
      <c r="AR35" s="71"/>
      <c r="AS35" s="71"/>
      <c r="AT35" s="34"/>
      <c r="AU35" s="34"/>
      <c r="AV35" s="34"/>
      <c r="AW35" s="5"/>
      <c r="AX35" s="5"/>
      <c r="AY35" s="5"/>
      <c r="AZ35" s="5"/>
      <c r="BA35" s="5"/>
      <c r="BB35" s="5"/>
      <c r="BC35" s="5"/>
      <c r="BD35" s="5"/>
      <c r="BE35" s="76"/>
    </row>
    <row r="36" spans="1:57" ht="11.45" customHeight="1">
      <c r="A36" s="5"/>
      <c r="B36" s="223"/>
      <c r="C36" s="224"/>
      <c r="D36" s="224"/>
      <c r="E36" s="224"/>
      <c r="F36" s="224"/>
      <c r="G36" s="226"/>
      <c r="H36" s="49"/>
      <c r="I36" s="155" t="str">
        <f>IF(B32="","",IF(P5&gt;=4,"期別納付額は"&amp;VLOOKUP(P5,$AT$80:$BA$91,8,FALSE),""))</f>
        <v/>
      </c>
      <c r="J36" s="35"/>
      <c r="K36" s="158"/>
      <c r="L36" s="158"/>
      <c r="M36" s="158"/>
      <c r="N36" s="158"/>
      <c r="O36" s="158"/>
      <c r="P36" s="158"/>
      <c r="Q36" s="158"/>
      <c r="R36" s="158"/>
      <c r="S36" s="158"/>
      <c r="T36" s="158"/>
      <c r="U36" s="158"/>
      <c r="V36" s="158"/>
      <c r="X36" s="158"/>
      <c r="Y36" s="158"/>
      <c r="Z36" s="158"/>
      <c r="AA36" s="167"/>
      <c r="AB36" s="5"/>
      <c r="AQ36" s="75"/>
      <c r="AR36" s="71"/>
      <c r="AS36" s="71"/>
      <c r="AT36" s="34"/>
      <c r="AU36" s="34"/>
      <c r="AV36" s="34"/>
      <c r="AW36" s="5"/>
      <c r="AX36" s="5"/>
      <c r="AY36" s="5"/>
      <c r="AZ36" s="5"/>
      <c r="BA36" s="5"/>
      <c r="BB36" s="5"/>
      <c r="BC36" s="5"/>
      <c r="BD36" s="5"/>
      <c r="BE36" s="76"/>
    </row>
    <row r="37" spans="1:57" ht="13.15" customHeight="1">
      <c r="A37" s="35"/>
      <c r="B37" s="127"/>
      <c r="C37" s="127"/>
      <c r="D37" s="127"/>
      <c r="E37" s="127"/>
      <c r="F37" s="127"/>
      <c r="G37" s="35"/>
      <c r="H37" s="49"/>
      <c r="I37" s="156"/>
      <c r="J37" s="157"/>
      <c r="K37" s="125"/>
      <c r="L37" s="125"/>
      <c r="M37" s="126"/>
      <c r="N37" s="126"/>
      <c r="O37" s="125"/>
      <c r="P37" s="128"/>
      <c r="Q37" s="128"/>
      <c r="R37" s="35"/>
      <c r="S37" s="35"/>
      <c r="T37" s="35"/>
      <c r="U37" s="35"/>
      <c r="V37" s="35"/>
      <c r="X37" s="35"/>
      <c r="Y37" s="35"/>
      <c r="Z37" s="35"/>
      <c r="AA37" s="35"/>
      <c r="AB37" s="5"/>
      <c r="AQ37" s="75"/>
      <c r="AR37" s="71"/>
      <c r="AS37" s="71"/>
      <c r="AT37" s="34"/>
      <c r="AU37" s="34"/>
      <c r="AV37" s="34"/>
      <c r="AW37" s="5"/>
      <c r="AX37" s="5"/>
      <c r="AY37" s="5"/>
      <c r="AZ37" s="5"/>
      <c r="BA37" s="5"/>
      <c r="BB37" s="5"/>
      <c r="BC37" s="5"/>
      <c r="BD37" s="5"/>
      <c r="BE37" s="76"/>
    </row>
    <row r="38" spans="1:57" ht="13.15" customHeight="1">
      <c r="A38" s="35"/>
      <c r="B38" s="127"/>
      <c r="C38" s="127"/>
      <c r="D38" s="127"/>
      <c r="E38" s="127"/>
      <c r="F38" s="127"/>
      <c r="G38" s="129"/>
      <c r="H38" s="49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130"/>
      <c r="U38" s="35"/>
      <c r="V38" s="35"/>
      <c r="X38" s="35"/>
      <c r="Y38" s="130"/>
      <c r="Z38" s="35"/>
      <c r="AA38" s="35"/>
      <c r="AQ38" s="75"/>
      <c r="AR38" s="71"/>
      <c r="AS38" s="71"/>
      <c r="AT38" s="34"/>
      <c r="AU38" s="34"/>
      <c r="AV38" s="34"/>
      <c r="AW38" s="5"/>
      <c r="AX38" s="5"/>
      <c r="AY38" s="5"/>
      <c r="AZ38" s="5"/>
      <c r="BA38" s="5"/>
      <c r="BB38" s="5"/>
      <c r="BC38" s="5"/>
      <c r="BD38" s="5"/>
      <c r="BE38" s="76"/>
    </row>
    <row r="39" spans="1:57" ht="12.6" customHeight="1">
      <c r="A39" s="5"/>
      <c r="B39" s="113"/>
      <c r="C39" s="113"/>
      <c r="D39" s="113"/>
      <c r="E39" s="113"/>
      <c r="F39" s="113"/>
      <c r="G39" s="114"/>
      <c r="H39" s="50"/>
      <c r="I39" s="35"/>
      <c r="J39" s="112"/>
      <c r="K39" s="112"/>
      <c r="L39" s="112"/>
      <c r="M39" s="112"/>
      <c r="N39" s="112"/>
      <c r="O39" s="112"/>
      <c r="P39" s="112"/>
      <c r="Q39" s="112"/>
      <c r="R39" s="67"/>
      <c r="S39" s="67"/>
      <c r="T39" s="67"/>
      <c r="U39" s="66"/>
      <c r="V39" s="66"/>
      <c r="X39" s="67"/>
      <c r="Y39" s="67"/>
      <c r="Z39" s="66"/>
      <c r="AA39" s="66"/>
      <c r="AQ39" s="30" t="s">
        <v>44</v>
      </c>
      <c r="AR39" s="81" t="s">
        <v>21</v>
      </c>
      <c r="AS39" s="81"/>
      <c r="AT39" s="81" t="s">
        <v>20</v>
      </c>
      <c r="AU39" s="81" t="s">
        <v>83</v>
      </c>
      <c r="AV39" s="81" t="s">
        <v>22</v>
      </c>
      <c r="AW39" s="81" t="s">
        <v>44</v>
      </c>
      <c r="AX39" s="5" t="s">
        <v>62</v>
      </c>
      <c r="AY39" s="5"/>
      <c r="AZ39" s="5"/>
      <c r="BA39" s="5"/>
      <c r="BB39" s="5"/>
      <c r="BC39" s="5"/>
      <c r="BD39" s="81"/>
      <c r="BE39" s="82"/>
    </row>
    <row r="40" spans="1:57" ht="10.15" customHeight="1" thickBot="1">
      <c r="B40" s="113"/>
      <c r="C40" s="113"/>
      <c r="D40" s="113"/>
      <c r="E40" s="113"/>
      <c r="F40" s="113"/>
      <c r="G40" s="114"/>
      <c r="H40" s="49"/>
      <c r="I40" s="36"/>
      <c r="J40" s="118"/>
      <c r="K40" s="118"/>
      <c r="L40" s="118"/>
      <c r="M40" s="118"/>
      <c r="N40" s="118"/>
      <c r="O40" s="118"/>
      <c r="P40" s="118"/>
      <c r="Q40" s="118"/>
      <c r="R40" s="5"/>
      <c r="S40" s="14"/>
      <c r="U40" s="14"/>
      <c r="V40" s="5"/>
      <c r="X40" s="14"/>
      <c r="Z40" s="14"/>
      <c r="AA40" s="5"/>
      <c r="AR40" s="5">
        <f>IF(F12="",0,1)</f>
        <v>0</v>
      </c>
      <c r="AS40" s="5"/>
      <c r="AT40" s="5">
        <f>IF(U12="",0,1)</f>
        <v>0</v>
      </c>
      <c r="AU40" s="5">
        <f>IF(F12="",0,1)</f>
        <v>0</v>
      </c>
      <c r="AV40" s="5"/>
      <c r="AW40" s="5"/>
      <c r="AX40" s="5" t="s">
        <v>59</v>
      </c>
      <c r="AY40" s="5" t="s">
        <v>9</v>
      </c>
      <c r="AZ40" s="5" t="s">
        <v>10</v>
      </c>
      <c r="BA40" s="90" t="s">
        <v>11</v>
      </c>
      <c r="BB40" s="5" t="s">
        <v>82</v>
      </c>
      <c r="BC40" s="5"/>
      <c r="BD40" s="5"/>
      <c r="BE40" s="82"/>
    </row>
    <row r="41" spans="1:57" ht="9.6" customHeight="1">
      <c r="B41" s="50"/>
      <c r="C41" s="49"/>
      <c r="D41" s="29"/>
      <c r="E41" s="49"/>
      <c r="F41" s="53"/>
      <c r="G41" s="53"/>
      <c r="H41" s="52"/>
      <c r="I41" s="35"/>
      <c r="J41" s="119"/>
      <c r="K41" s="35"/>
      <c r="L41" s="213"/>
      <c r="M41" s="213"/>
      <c r="N41" s="213"/>
      <c r="O41" s="213"/>
      <c r="P41" s="217"/>
      <c r="Q41" s="217"/>
      <c r="R41" s="35"/>
      <c r="S41" s="35"/>
      <c r="T41" s="14"/>
      <c r="U41" s="35"/>
      <c r="V41" s="5"/>
      <c r="X41" s="35"/>
      <c r="Y41" s="14"/>
      <c r="Z41" s="35"/>
      <c r="AA41" s="5"/>
      <c r="AQ41" s="6" t="s">
        <v>45</v>
      </c>
      <c r="AR41" s="5">
        <f>IF(F13="",0,1)</f>
        <v>0</v>
      </c>
      <c r="AS41" s="5"/>
      <c r="AT41" s="5">
        <f>IF(U13="",0,1)</f>
        <v>0</v>
      </c>
      <c r="AU41" s="5">
        <f>IF(F13="",0,1)</f>
        <v>0</v>
      </c>
      <c r="AV41" s="5"/>
      <c r="AW41" s="5" t="s">
        <v>45</v>
      </c>
      <c r="AX41" s="5" t="s">
        <v>58</v>
      </c>
      <c r="AY41" s="94">
        <f>AP$7*0.3</f>
        <v>10650</v>
      </c>
      <c r="AZ41" s="101">
        <f>AQ$7*0.3</f>
        <v>3570</v>
      </c>
      <c r="BA41" s="95">
        <f>AR$7*0.3</f>
        <v>3660</v>
      </c>
      <c r="BB41" s="95">
        <f>AS$7*0.3</f>
        <v>390</v>
      </c>
      <c r="BC41" s="5">
        <f>AY41/3*10</f>
        <v>35500</v>
      </c>
      <c r="BD41" s="5">
        <f>AZ41/3*10</f>
        <v>11900</v>
      </c>
      <c r="BE41" s="5">
        <f>BA41/3*10</f>
        <v>12200</v>
      </c>
    </row>
    <row r="42" spans="1:57">
      <c r="B42" s="69"/>
      <c r="C42" s="54"/>
      <c r="D42" s="54"/>
      <c r="E42" s="51"/>
      <c r="F42" s="55"/>
      <c r="G42" s="55"/>
      <c r="H42" s="53"/>
      <c r="I42" s="35"/>
      <c r="J42" s="51"/>
      <c r="K42" s="51"/>
      <c r="L42" s="51"/>
      <c r="M42" s="51"/>
      <c r="N42" s="51"/>
      <c r="O42" s="51"/>
      <c r="P42" s="51"/>
      <c r="Q42" s="51"/>
      <c r="R42" s="35"/>
      <c r="S42" s="35"/>
      <c r="T42" s="35"/>
      <c r="U42" s="35"/>
      <c r="V42" s="5"/>
      <c r="X42" s="35"/>
      <c r="Y42" s="35"/>
      <c r="Z42" s="35"/>
      <c r="AA42" s="5"/>
      <c r="AQ42" s="6" t="s">
        <v>46</v>
      </c>
      <c r="AR42" s="5">
        <f>IF(F14="",0,1)</f>
        <v>0</v>
      </c>
      <c r="AS42" s="5"/>
      <c r="AT42" s="5">
        <f>IF(U14="",0,1)</f>
        <v>0</v>
      </c>
      <c r="AU42" s="5">
        <f>IF(F14="",0,1)</f>
        <v>0</v>
      </c>
      <c r="AV42" s="5"/>
      <c r="AW42" s="5" t="s">
        <v>46</v>
      </c>
      <c r="AX42" s="5" t="s">
        <v>60</v>
      </c>
      <c r="AY42" s="96">
        <f>AP$7*0.5</f>
        <v>17750</v>
      </c>
      <c r="AZ42" s="83">
        <f>AQ$7*0.5</f>
        <v>5950</v>
      </c>
      <c r="BA42" s="97">
        <f>AR$7*0.5</f>
        <v>6100</v>
      </c>
      <c r="BB42" s="97">
        <f>AS$7*0.5</f>
        <v>650</v>
      </c>
      <c r="BC42" s="5">
        <f>AY42*2</f>
        <v>35500</v>
      </c>
      <c r="BD42" s="5">
        <f>AZ42*2</f>
        <v>11900</v>
      </c>
      <c r="BE42" s="5">
        <f>BA42*2</f>
        <v>12200</v>
      </c>
    </row>
    <row r="43" spans="1:57" ht="9.75" thickBot="1">
      <c r="B43" s="69"/>
      <c r="C43" s="49"/>
      <c r="D43" s="57"/>
      <c r="E43" s="35"/>
      <c r="F43" s="59"/>
      <c r="G43" s="58"/>
      <c r="H43" s="56"/>
      <c r="I43" s="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5"/>
      <c r="X43" s="35"/>
      <c r="Y43" s="35"/>
      <c r="Z43" s="35"/>
      <c r="AA43" s="5"/>
      <c r="AQ43" s="6" t="s">
        <v>47</v>
      </c>
      <c r="AR43" s="5">
        <f>IF(F15="",0,1)</f>
        <v>0</v>
      </c>
      <c r="AS43" s="5"/>
      <c r="AT43" s="5">
        <f>IF(U15="",0,1)</f>
        <v>0</v>
      </c>
      <c r="AU43" s="5">
        <f>IF(F15="",0,1)</f>
        <v>0</v>
      </c>
      <c r="AV43" s="5"/>
      <c r="AW43" s="5" t="s">
        <v>47</v>
      </c>
      <c r="AX43" s="5" t="s">
        <v>61</v>
      </c>
      <c r="AY43" s="98">
        <f>AP7*0.8</f>
        <v>28400</v>
      </c>
      <c r="AZ43" s="102">
        <f>AQ7*0.8</f>
        <v>9520</v>
      </c>
      <c r="BA43" s="99">
        <f>AR7*0.8</f>
        <v>9760</v>
      </c>
      <c r="BB43" s="99">
        <f>AS7*0.8</f>
        <v>1040</v>
      </c>
      <c r="BC43" s="5">
        <f>AY43/8*10</f>
        <v>35500</v>
      </c>
      <c r="BD43" s="5">
        <f>AZ43/8*10</f>
        <v>11900</v>
      </c>
      <c r="BE43" s="5">
        <f>BA43/8*10</f>
        <v>12200</v>
      </c>
    </row>
    <row r="44" spans="1:57" ht="9.75" thickBot="1">
      <c r="B44" s="69"/>
      <c r="C44" s="36"/>
      <c r="D44" s="55"/>
      <c r="E44" s="55"/>
      <c r="F44" s="35"/>
      <c r="G44" s="35"/>
      <c r="H44" s="36"/>
      <c r="I44" s="5"/>
      <c r="J44" s="55"/>
      <c r="K44" s="212"/>
      <c r="L44" s="212"/>
      <c r="M44" s="60"/>
      <c r="N44" s="61"/>
      <c r="O44" s="60"/>
      <c r="P44" s="60"/>
      <c r="Q44" s="60"/>
      <c r="R44" s="35"/>
      <c r="S44" s="35"/>
      <c r="T44" s="35"/>
      <c r="U44" s="35"/>
      <c r="X44" s="35"/>
      <c r="Y44" s="35"/>
      <c r="Z44" s="35"/>
      <c r="AQ44" s="6" t="s">
        <v>48</v>
      </c>
      <c r="AR44" s="5">
        <f>SUM(AR40:AR43)</f>
        <v>0</v>
      </c>
      <c r="AS44" s="5"/>
      <c r="AT44" s="5">
        <f>SUM(AT40:AT43)</f>
        <v>0</v>
      </c>
      <c r="AU44" s="5">
        <f>SUM(AU40:AU43)</f>
        <v>0</v>
      </c>
      <c r="AV44" s="5"/>
      <c r="AW44" s="5" t="s">
        <v>48</v>
      </c>
      <c r="AX44" s="5" t="s">
        <v>8</v>
      </c>
      <c r="AY44" s="83"/>
      <c r="AZ44" s="83"/>
      <c r="BA44" s="83"/>
      <c r="BB44" s="83"/>
      <c r="BC44" s="5"/>
      <c r="BD44" s="5"/>
      <c r="BE44" s="82"/>
    </row>
    <row r="45" spans="1:57">
      <c r="B45" s="69"/>
      <c r="C45" s="63"/>
      <c r="D45" s="58"/>
      <c r="E45" s="59"/>
      <c r="F45" s="35"/>
      <c r="G45" s="35"/>
      <c r="H45" s="35"/>
      <c r="I45" s="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X45" s="35"/>
      <c r="Y45" s="35"/>
      <c r="Z45" s="35"/>
      <c r="AQ45" s="75"/>
      <c r="AR45" s="5"/>
      <c r="AS45" s="5"/>
      <c r="AT45" s="5"/>
      <c r="AU45" s="5"/>
      <c r="AV45" s="5"/>
      <c r="AW45" s="5"/>
      <c r="AX45" s="5" t="s">
        <v>58</v>
      </c>
      <c r="AY45" s="94">
        <f>AP$8*0.3</f>
        <v>6840</v>
      </c>
      <c r="AZ45" s="101">
        <f>AQ$8*0.3</f>
        <v>2310</v>
      </c>
      <c r="BA45" s="95">
        <f>AR$8*0.3</f>
        <v>1800</v>
      </c>
      <c r="BB45" s="95">
        <f>AS$8*0.3</f>
        <v>240</v>
      </c>
      <c r="BC45" s="5">
        <f>AY45/3*10</f>
        <v>22800</v>
      </c>
      <c r="BD45" s="5">
        <f>AZ45/3*10</f>
        <v>7700</v>
      </c>
      <c r="BE45" s="5">
        <f>BA45/3*10</f>
        <v>6000</v>
      </c>
    </row>
    <row r="46" spans="1:57">
      <c r="B46" s="69"/>
      <c r="C46" s="69"/>
      <c r="D46" s="5"/>
      <c r="E46" s="5"/>
      <c r="F46" s="35"/>
      <c r="G46" s="5"/>
      <c r="H46" s="35"/>
      <c r="I46" s="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X46" s="35"/>
      <c r="Y46" s="35"/>
      <c r="Z46" s="35"/>
      <c r="AQ46" s="75"/>
      <c r="AR46" s="5" t="s">
        <v>28</v>
      </c>
      <c r="AS46" s="5"/>
      <c r="AT46" s="83">
        <f>IF(K25&lt;=K23,K25,K23)</f>
        <v>0</v>
      </c>
      <c r="AU46" s="83">
        <f>IF(P25&lt;=P23,P25,P23)</f>
        <v>0</v>
      </c>
      <c r="AV46" s="83">
        <f>IF(U25&lt;=U23,U25,U23)</f>
        <v>0</v>
      </c>
      <c r="AW46" s="83">
        <f>IF(Z25&lt;=Z23,Z25,Z23)</f>
        <v>0</v>
      </c>
      <c r="AX46" s="5" t="s">
        <v>60</v>
      </c>
      <c r="AY46" s="96">
        <f>AP$8*0.5</f>
        <v>11400</v>
      </c>
      <c r="AZ46" s="83">
        <f>AQ$8*0.5</f>
        <v>3850</v>
      </c>
      <c r="BA46" s="97">
        <f>AR$8*0.5</f>
        <v>3000</v>
      </c>
      <c r="BB46" s="97">
        <f>AS$8*0.5</f>
        <v>400</v>
      </c>
      <c r="BC46" s="5">
        <f>AY46*2</f>
        <v>22800</v>
      </c>
      <c r="BD46" s="5">
        <f>AZ46*2</f>
        <v>7700</v>
      </c>
      <c r="BE46" s="5">
        <f>BA46*2</f>
        <v>6000</v>
      </c>
    </row>
    <row r="47" spans="1:57" ht="9.75" thickBot="1">
      <c r="B47" s="69"/>
      <c r="C47" s="70"/>
      <c r="D47" s="5"/>
      <c r="E47" s="5"/>
      <c r="F47" s="35"/>
      <c r="G47" s="5"/>
      <c r="H47" s="5"/>
      <c r="I47" s="5"/>
      <c r="AQ47" s="75"/>
      <c r="AR47" s="35" t="s">
        <v>32</v>
      </c>
      <c r="AS47" s="35"/>
      <c r="AT47" s="84">
        <f>L5</f>
        <v>0</v>
      </c>
      <c r="AU47" s="84"/>
      <c r="AV47" s="84"/>
      <c r="AW47" s="35"/>
      <c r="AX47" s="5" t="s">
        <v>61</v>
      </c>
      <c r="AY47" s="98">
        <f>AP$8*0.8</f>
        <v>18240</v>
      </c>
      <c r="AZ47" s="102">
        <f>AQ$8*0.8</f>
        <v>6160</v>
      </c>
      <c r="BA47" s="99">
        <f>AR$8*0.8</f>
        <v>4800</v>
      </c>
      <c r="BB47" s="99">
        <f>AS$8*0.8</f>
        <v>640</v>
      </c>
      <c r="BC47" s="5">
        <f>AY47/8*10</f>
        <v>22800</v>
      </c>
      <c r="BD47" s="5">
        <f>AZ47/8*10</f>
        <v>7700</v>
      </c>
      <c r="BE47" s="5">
        <f>BA47/8*10</f>
        <v>6000</v>
      </c>
    </row>
    <row r="48" spans="1:57">
      <c r="B48" s="69"/>
      <c r="C48" s="70"/>
      <c r="D48" s="5"/>
      <c r="E48" s="5"/>
      <c r="F48" s="35"/>
      <c r="G48" s="5"/>
      <c r="H48" s="5"/>
      <c r="I48" s="5"/>
      <c r="AQ48" s="75"/>
      <c r="AR48" s="35"/>
      <c r="AS48" s="35"/>
      <c r="AT48" s="35"/>
      <c r="AU48" s="35"/>
      <c r="AV48" s="35"/>
      <c r="AW48" s="35"/>
      <c r="AX48" s="5"/>
      <c r="AY48" s="5"/>
      <c r="AZ48" s="5"/>
      <c r="BA48" s="5"/>
      <c r="BB48" s="5"/>
      <c r="BC48" s="5"/>
      <c r="BD48" s="35"/>
      <c r="BE48" s="76"/>
    </row>
    <row r="49" spans="2:57">
      <c r="B49" s="69"/>
      <c r="C49" s="69"/>
      <c r="D49" s="5"/>
      <c r="E49" s="5"/>
      <c r="F49" s="35"/>
      <c r="G49" s="5"/>
      <c r="H49" s="5"/>
      <c r="I49" s="5"/>
      <c r="AQ49" s="7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76"/>
    </row>
    <row r="50" spans="2:57">
      <c r="B50" s="69"/>
      <c r="C50" s="69"/>
      <c r="D50" s="5"/>
      <c r="E50" s="5"/>
      <c r="F50" s="35"/>
      <c r="G50" s="5"/>
      <c r="H50" s="5"/>
      <c r="I50" s="5"/>
      <c r="AQ50" s="75"/>
      <c r="AR50" s="35"/>
      <c r="AS50" s="35"/>
      <c r="AT50" s="35"/>
      <c r="AU50" s="35"/>
      <c r="AV50" s="35"/>
      <c r="AW50" s="35"/>
      <c r="AX50" s="81"/>
      <c r="AY50" s="81"/>
      <c r="AZ50" s="81"/>
      <c r="BA50" s="81"/>
      <c r="BB50" s="81"/>
      <c r="BC50" s="81"/>
      <c r="BD50" s="35"/>
      <c r="BE50" s="76"/>
    </row>
    <row r="51" spans="2:57">
      <c r="B51" s="69"/>
      <c r="C51" s="69"/>
      <c r="D51" s="5"/>
      <c r="E51" s="5"/>
      <c r="F51" s="35"/>
      <c r="G51" s="5"/>
      <c r="H51" s="5"/>
      <c r="I51" s="5"/>
      <c r="AQ51" s="75"/>
      <c r="AR51" s="35"/>
      <c r="AS51" s="35"/>
      <c r="AT51" s="35"/>
      <c r="AU51" s="35"/>
      <c r="AV51" s="35"/>
      <c r="AW51" s="35"/>
      <c r="AX51" s="5"/>
      <c r="AY51" s="5"/>
      <c r="AZ51" s="5"/>
      <c r="BA51" s="5"/>
      <c r="BB51" s="5"/>
      <c r="BC51" s="5"/>
      <c r="BD51" s="35"/>
      <c r="BE51" s="76"/>
    </row>
    <row r="52" spans="2:57">
      <c r="B52" s="69"/>
      <c r="C52" s="69"/>
      <c r="D52" s="5"/>
      <c r="E52" s="5"/>
      <c r="F52" s="35"/>
      <c r="G52" s="5"/>
      <c r="H52" s="5"/>
      <c r="I52" s="5"/>
      <c r="AQ52" s="75"/>
      <c r="AR52" s="35"/>
      <c r="AS52" s="35"/>
      <c r="AT52" s="35"/>
      <c r="AU52" s="35"/>
      <c r="AV52" s="35"/>
      <c r="AW52" s="35"/>
      <c r="AX52" s="5"/>
      <c r="AY52" s="5"/>
      <c r="AZ52" s="5"/>
      <c r="BA52" s="5"/>
      <c r="BB52" s="5"/>
      <c r="BC52" s="5"/>
      <c r="BD52" s="35"/>
      <c r="BE52" s="76"/>
    </row>
    <row r="53" spans="2:57">
      <c r="B53" s="69"/>
      <c r="C53" s="69"/>
      <c r="D53" s="5"/>
      <c r="E53" s="5"/>
      <c r="F53" s="35"/>
      <c r="G53" s="5"/>
      <c r="H53" s="5"/>
      <c r="AQ53" s="75"/>
      <c r="AR53" s="35"/>
      <c r="AS53" s="35"/>
      <c r="AT53" s="35"/>
      <c r="AU53" s="35"/>
      <c r="AV53" s="35"/>
      <c r="AW53" s="35"/>
      <c r="AX53" s="5"/>
      <c r="AY53" s="5"/>
      <c r="AZ53" s="5"/>
      <c r="BA53" s="5"/>
      <c r="BB53" s="5"/>
      <c r="BC53" s="5"/>
      <c r="BD53" s="35"/>
      <c r="BE53" s="76"/>
    </row>
    <row r="54" spans="2:57">
      <c r="B54" s="69"/>
      <c r="C54" s="69"/>
      <c r="D54" s="5"/>
      <c r="E54" s="5"/>
      <c r="F54" s="35"/>
      <c r="G54" s="5"/>
      <c r="H54" s="5"/>
      <c r="AQ54" s="75"/>
      <c r="AR54" s="35"/>
      <c r="AS54" s="35"/>
      <c r="AT54" s="35"/>
      <c r="AU54" s="35"/>
      <c r="AV54" s="35"/>
      <c r="AW54" s="35"/>
      <c r="AX54" s="5"/>
      <c r="AY54" s="5"/>
      <c r="AZ54" s="5"/>
      <c r="BA54" s="5"/>
      <c r="BB54" s="5"/>
      <c r="BC54" s="5"/>
      <c r="BD54" s="35"/>
      <c r="BE54" s="76"/>
    </row>
    <row r="55" spans="2:57" ht="10.5">
      <c r="B55" s="69"/>
      <c r="C55" s="69"/>
      <c r="D55" s="5"/>
      <c r="E55" s="5"/>
      <c r="F55" s="35"/>
      <c r="G55" s="5"/>
      <c r="H55" s="5"/>
      <c r="AQ55" s="75"/>
      <c r="AR55" s="35"/>
      <c r="AS55" s="35"/>
      <c r="AT55" s="35"/>
      <c r="AU55" s="35"/>
      <c r="AV55" s="35"/>
      <c r="AW55" s="35"/>
      <c r="AX55" s="5"/>
      <c r="AY55" s="5"/>
      <c r="AZ55" s="5"/>
      <c r="BA55" s="5"/>
      <c r="BB55" s="5"/>
      <c r="BC55" s="5"/>
      <c r="BD55" s="85"/>
      <c r="BE55" s="76"/>
    </row>
    <row r="56" spans="2:57">
      <c r="H56" s="5"/>
      <c r="AQ56" s="75"/>
      <c r="AR56" s="35"/>
      <c r="AS56" s="35"/>
      <c r="AT56" s="35"/>
      <c r="AU56" s="35"/>
      <c r="AV56" s="35"/>
      <c r="AW56" s="35"/>
      <c r="AX56" s="5"/>
      <c r="AY56" s="5"/>
      <c r="AZ56" s="5"/>
      <c r="BA56" s="5"/>
      <c r="BB56" s="5"/>
      <c r="BC56" s="5"/>
      <c r="BD56" s="5"/>
      <c r="BE56" s="76"/>
    </row>
    <row r="57" spans="2:57">
      <c r="AQ57" s="75"/>
      <c r="AR57" s="35"/>
      <c r="AS57" s="35"/>
      <c r="AT57" s="35"/>
      <c r="AU57" s="35"/>
      <c r="AV57" s="35"/>
      <c r="AW57" s="35"/>
      <c r="AX57" s="5"/>
      <c r="AY57" s="5"/>
      <c r="AZ57" s="5"/>
      <c r="BA57" s="5"/>
      <c r="BB57" s="5"/>
      <c r="BC57" s="5"/>
      <c r="BD57" s="5"/>
      <c r="BE57" s="76"/>
    </row>
    <row r="58" spans="2:57">
      <c r="AQ58" s="75"/>
      <c r="AR58" s="35"/>
      <c r="AS58" s="35"/>
      <c r="AT58" s="35"/>
      <c r="AU58" s="35"/>
      <c r="AV58" s="35"/>
      <c r="AW58" s="35"/>
      <c r="AX58" s="35"/>
      <c r="AY58" s="35"/>
      <c r="AZ58" s="35"/>
      <c r="BA58" s="35"/>
      <c r="BB58" s="35"/>
      <c r="BC58" s="35"/>
      <c r="BD58" s="5"/>
      <c r="BE58" s="76"/>
    </row>
    <row r="59" spans="2:57">
      <c r="AQ59" s="75"/>
      <c r="AR59" s="35"/>
      <c r="AS59" s="35"/>
      <c r="AT59" s="5"/>
      <c r="AU59" s="35"/>
      <c r="AV59" s="35"/>
      <c r="AW59" s="35"/>
      <c r="AX59" s="35"/>
      <c r="AY59" s="35"/>
      <c r="AZ59" s="35"/>
      <c r="BA59" s="35"/>
      <c r="BB59" s="35"/>
      <c r="BC59" s="35"/>
      <c r="BD59" s="5"/>
      <c r="BE59" s="76"/>
    </row>
    <row r="60" spans="2:57">
      <c r="AQ60" s="75"/>
      <c r="AR60" s="35"/>
      <c r="AS60" s="35"/>
      <c r="AT60" s="35"/>
      <c r="AU60" s="35"/>
      <c r="AV60" s="35"/>
      <c r="AW60" s="35"/>
      <c r="AX60" s="5"/>
      <c r="AY60" s="5"/>
      <c r="AZ60" s="5"/>
      <c r="BA60" s="5"/>
      <c r="BB60" s="5"/>
      <c r="BC60" s="5"/>
      <c r="BD60" s="5"/>
      <c r="BE60" s="76"/>
    </row>
    <row r="61" spans="2:57">
      <c r="AQ61" s="75"/>
      <c r="AR61" s="35"/>
      <c r="AS61" s="35"/>
      <c r="AT61" s="35"/>
      <c r="AU61" s="35"/>
      <c r="AV61" s="35"/>
      <c r="AW61" s="35"/>
      <c r="AX61" s="35"/>
      <c r="AY61" s="35"/>
      <c r="AZ61" s="35"/>
      <c r="BA61" s="35"/>
      <c r="BB61" s="35"/>
      <c r="BC61" s="35"/>
      <c r="BD61" s="5"/>
      <c r="BE61" s="76"/>
    </row>
    <row r="62" spans="2:57">
      <c r="AQ62" s="75"/>
      <c r="AR62" s="35"/>
      <c r="AS62" s="35"/>
      <c r="AT62" s="35"/>
      <c r="AU62" s="35"/>
      <c r="AV62" s="35"/>
      <c r="AW62" s="35"/>
      <c r="AX62" s="35"/>
      <c r="AY62" s="35"/>
      <c r="AZ62" s="35"/>
      <c r="BA62" s="35"/>
      <c r="BB62" s="35"/>
      <c r="BC62" s="35"/>
      <c r="BD62" s="5"/>
      <c r="BE62" s="76"/>
    </row>
    <row r="63" spans="2:57">
      <c r="AQ63" s="75"/>
      <c r="AR63" s="35"/>
      <c r="AS63" s="35"/>
      <c r="AT63" s="35"/>
      <c r="AU63" s="35"/>
      <c r="AV63" s="35"/>
      <c r="AW63" s="35"/>
      <c r="AX63" s="35"/>
      <c r="AY63" s="35"/>
      <c r="AZ63" s="35"/>
      <c r="BA63" s="35"/>
      <c r="BB63" s="35"/>
      <c r="BC63" s="35"/>
      <c r="BD63" s="5"/>
      <c r="BE63" s="76"/>
    </row>
    <row r="64" spans="2:57">
      <c r="AQ64" s="75"/>
      <c r="AR64" s="35"/>
      <c r="AS64" s="35"/>
      <c r="AT64" s="35"/>
      <c r="AU64" s="35"/>
      <c r="AV64" s="35"/>
      <c r="AW64" s="35"/>
      <c r="AX64" s="35"/>
      <c r="AY64" s="35"/>
      <c r="AZ64" s="35"/>
      <c r="BA64" s="35"/>
      <c r="BB64" s="35"/>
      <c r="BC64" s="35"/>
      <c r="BD64" s="5"/>
      <c r="BE64" s="76"/>
    </row>
    <row r="65" spans="43:57">
      <c r="AQ65" s="75"/>
      <c r="AR65" s="35"/>
      <c r="AS65" s="35"/>
      <c r="AT65" s="35"/>
      <c r="AU65" s="35"/>
      <c r="AV65" s="35"/>
      <c r="AW65" s="35"/>
      <c r="AX65" s="35"/>
      <c r="AY65" s="35"/>
      <c r="AZ65" s="35"/>
      <c r="BA65" s="35"/>
      <c r="BB65" s="35"/>
      <c r="BC65" s="35"/>
      <c r="BD65" s="5"/>
      <c r="BE65" s="76"/>
    </row>
    <row r="66" spans="43:57" ht="10.5">
      <c r="AQ66" s="75"/>
      <c r="AR66" s="85"/>
      <c r="AS66" s="85"/>
      <c r="AT66" s="85"/>
      <c r="AU66" s="85"/>
      <c r="AV66" s="85"/>
      <c r="AW66" s="85"/>
      <c r="AX66" s="85"/>
      <c r="AY66" s="85"/>
      <c r="AZ66" s="85"/>
      <c r="BA66" s="85"/>
      <c r="BB66" s="85"/>
      <c r="BC66" s="85"/>
      <c r="BD66" s="5"/>
      <c r="BE66" s="76"/>
    </row>
    <row r="67" spans="43:57">
      <c r="AQ67" s="7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76"/>
    </row>
    <row r="68" spans="43:57">
      <c r="AQ68" s="7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76"/>
    </row>
    <row r="69" spans="43:57">
      <c r="AQ69" s="75"/>
      <c r="AR69" s="5"/>
      <c r="AS69" s="5"/>
      <c r="AT69" s="35">
        <v>3.6666666666666701</v>
      </c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76"/>
    </row>
    <row r="70" spans="43:57">
      <c r="AQ70" s="75"/>
      <c r="AR70" s="5"/>
      <c r="AS70" s="5"/>
      <c r="AT70" s="3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76"/>
    </row>
    <row r="71" spans="43:57">
      <c r="AQ71" s="75"/>
      <c r="AR71" s="5"/>
      <c r="AS71" s="5"/>
      <c r="AT71" s="3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76"/>
    </row>
    <row r="72" spans="43:57">
      <c r="AQ72" s="7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76"/>
    </row>
    <row r="73" spans="43:57">
      <c r="AQ73" s="7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76"/>
    </row>
    <row r="74" spans="43:57">
      <c r="AQ74" s="7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76"/>
    </row>
    <row r="75" spans="43:57">
      <c r="AQ75" s="7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76"/>
    </row>
    <row r="76" spans="43:57">
      <c r="AQ76" s="7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76"/>
    </row>
    <row r="77" spans="43:57">
      <c r="AQ77" s="7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76"/>
    </row>
    <row r="78" spans="43:57">
      <c r="AQ78" s="75"/>
      <c r="AR78" s="5" t="s">
        <v>35</v>
      </c>
      <c r="AS78" s="5"/>
      <c r="AT78" s="15" t="s">
        <v>37</v>
      </c>
      <c r="AU78" s="15" t="s">
        <v>34</v>
      </c>
      <c r="AV78" s="15" t="s">
        <v>15</v>
      </c>
      <c r="AW78" s="15" t="s">
        <v>33</v>
      </c>
      <c r="AX78" s="15" t="s">
        <v>38</v>
      </c>
      <c r="AY78" s="15" t="s">
        <v>39</v>
      </c>
      <c r="AZ78" s="15" t="s">
        <v>40</v>
      </c>
      <c r="BA78" s="15" t="s">
        <v>38</v>
      </c>
      <c r="BB78" s="5"/>
      <c r="BC78" s="5"/>
      <c r="BD78" s="5"/>
      <c r="BE78" s="76"/>
    </row>
    <row r="79" spans="43:57">
      <c r="AQ79" s="75"/>
      <c r="AR79" s="5"/>
      <c r="AS79" s="5"/>
      <c r="AT79" s="15"/>
      <c r="AU79" s="15">
        <v>0</v>
      </c>
      <c r="AV79" s="15">
        <v>0</v>
      </c>
      <c r="AW79" s="15">
        <v>0</v>
      </c>
      <c r="AX79" s="15">
        <v>0</v>
      </c>
      <c r="AY79" s="15">
        <v>0</v>
      </c>
      <c r="AZ79" s="62">
        <v>0</v>
      </c>
      <c r="BA79" s="15">
        <v>0</v>
      </c>
      <c r="BB79" s="5"/>
      <c r="BC79" s="5"/>
      <c r="BD79" s="5"/>
      <c r="BE79" s="76"/>
    </row>
    <row r="80" spans="43:57">
      <c r="AQ80" s="75"/>
      <c r="AR80" s="5"/>
      <c r="AS80" s="5"/>
      <c r="AT80" s="15">
        <v>1</v>
      </c>
      <c r="AU80" s="15">
        <v>3</v>
      </c>
      <c r="AV80" s="62" t="e">
        <f>ROUND((AU80*$J$32/12),-2)</f>
        <v>#VALUE!</v>
      </c>
      <c r="AW80" s="15">
        <v>1</v>
      </c>
      <c r="AX80" s="15" t="s">
        <v>41</v>
      </c>
      <c r="AY80" s="64" t="e">
        <f>VLOOKUP(L5,AT79:AV91,3,FALSE)</f>
        <v>#N/A</v>
      </c>
      <c r="AZ80" s="62">
        <v>0</v>
      </c>
      <c r="BA80" s="15"/>
      <c r="BB80" s="5"/>
      <c r="BC80" s="5"/>
      <c r="BD80" s="5"/>
      <c r="BE80" s="76"/>
    </row>
    <row r="81" spans="43:57">
      <c r="AQ81" s="75"/>
      <c r="AR81" s="5"/>
      <c r="AS81" s="5"/>
      <c r="AT81" s="15">
        <v>2</v>
      </c>
      <c r="AU81" s="15">
        <v>2</v>
      </c>
      <c r="AV81" s="62" t="e">
        <f t="shared" ref="AV81:AV91" si="0">ROUND((AU81*$J$32/12),-2)</f>
        <v>#VALUE!</v>
      </c>
      <c r="AW81" s="15">
        <v>1</v>
      </c>
      <c r="AX81" s="15" t="s">
        <v>42</v>
      </c>
      <c r="AY81" s="64" t="e">
        <f>VLOOKUP(L5,AT79:AV91,3,FALSE)</f>
        <v>#N/A</v>
      </c>
      <c r="AZ81" s="62">
        <v>0</v>
      </c>
      <c r="BA81" s="15"/>
      <c r="BB81" s="5"/>
      <c r="BC81" s="5"/>
      <c r="BD81" s="5"/>
      <c r="BE81" s="76"/>
    </row>
    <row r="82" spans="43:57">
      <c r="AQ82" s="75"/>
      <c r="AR82" s="5"/>
      <c r="AS82" s="5"/>
      <c r="AT82" s="15">
        <v>3</v>
      </c>
      <c r="AU82" s="15">
        <v>1</v>
      </c>
      <c r="AV82" s="62" t="e">
        <f t="shared" si="0"/>
        <v>#VALUE!</v>
      </c>
      <c r="AW82" s="15">
        <v>1</v>
      </c>
      <c r="AX82" s="15" t="s">
        <v>43</v>
      </c>
      <c r="AY82" s="64" t="e">
        <f>VLOOKUP(L5,AT79:AV91,3,FALSE)</f>
        <v>#N/A</v>
      </c>
      <c r="AZ82" s="62">
        <v>0</v>
      </c>
      <c r="BA82" s="15"/>
      <c r="BB82" s="5"/>
      <c r="BC82" s="5"/>
      <c r="BD82" s="5"/>
      <c r="BE82" s="76"/>
    </row>
    <row r="83" spans="43:57">
      <c r="AQ83" s="75"/>
      <c r="AR83" s="5"/>
      <c r="AS83" s="5"/>
      <c r="AT83" s="15">
        <v>4</v>
      </c>
      <c r="AU83" s="15">
        <v>12</v>
      </c>
      <c r="AV83" s="62" t="e">
        <f t="shared" si="0"/>
        <v>#VALUE!</v>
      </c>
      <c r="AW83" s="15">
        <v>8</v>
      </c>
      <c r="AX83" s="15" t="s">
        <v>71</v>
      </c>
      <c r="AY83" s="64" t="e">
        <f>VLOOKUP(L5,AT79:AV91,3,FALSE)-(ROUNDDOWN((VLOOKUP(L5,AT79:AV91,3,FALSE)/AW83),-3)*(AW83-1))</f>
        <v>#N/A</v>
      </c>
      <c r="AZ83" s="62" t="e">
        <f>(VLOOKUP(L5,AT79:AV91,3,FALSE)-AY83)/(AW83-1)</f>
        <v>#N/A</v>
      </c>
      <c r="BA83" s="15" t="e">
        <f t="shared" ref="BA83:BA90" si="1">"初回が　"&amp;AY83&amp;"円、2回目以降は　"&amp;AZ83&amp;"円になります。"</f>
        <v>#N/A</v>
      </c>
      <c r="BB83" s="5"/>
      <c r="BC83" s="5"/>
      <c r="BD83" s="5"/>
      <c r="BE83" s="76"/>
    </row>
    <row r="84" spans="43:57">
      <c r="AQ84" s="75"/>
      <c r="AR84" s="5"/>
      <c r="AS84" s="5"/>
      <c r="AT84" s="15">
        <v>5</v>
      </c>
      <c r="AU84" s="15">
        <v>11</v>
      </c>
      <c r="AV84" s="62" t="e">
        <f t="shared" si="0"/>
        <v>#VALUE!</v>
      </c>
      <c r="AW84" s="15">
        <v>8</v>
      </c>
      <c r="AX84" s="15" t="s">
        <v>71</v>
      </c>
      <c r="AY84" s="64" t="e">
        <f>VLOOKUP(L5,AT79:AV91,3,FALSE)-(ROUNDDOWN((VLOOKUP(L5,AT79:AV91,3,FALSE)/AW84),-3)*(AW84-1))</f>
        <v>#N/A</v>
      </c>
      <c r="AZ84" s="62" t="e">
        <f>(VLOOKUP(L5,AT79:AV91,3,FALSE)-AY84)/(AW84-1)</f>
        <v>#N/A</v>
      </c>
      <c r="BA84" s="15" t="e">
        <f t="shared" si="1"/>
        <v>#N/A</v>
      </c>
      <c r="BB84" s="5"/>
      <c r="BC84" s="5"/>
      <c r="BD84" s="5"/>
      <c r="BE84" s="76"/>
    </row>
    <row r="85" spans="43:57">
      <c r="AQ85" s="75"/>
      <c r="AR85" s="5"/>
      <c r="AS85" s="5"/>
      <c r="AT85" s="15">
        <v>6</v>
      </c>
      <c r="AU85" s="15">
        <v>10</v>
      </c>
      <c r="AV85" s="62" t="e">
        <f t="shared" si="0"/>
        <v>#VALUE!</v>
      </c>
      <c r="AW85" s="15">
        <v>8</v>
      </c>
      <c r="AX85" s="15" t="s">
        <v>71</v>
      </c>
      <c r="AY85" s="64" t="e">
        <f>VLOOKUP(L5,AT79:AV91,3,FALSE)-(ROUNDDOWN((VLOOKUP(L5,AT79:AV91,3,FALSE)/AW85),-3)*(AW85-1))</f>
        <v>#N/A</v>
      </c>
      <c r="AZ85" s="62" t="e">
        <f>(VLOOKUP(L5,AT79:AV91,3,FALSE)-AY85)/(AW85-1)</f>
        <v>#N/A</v>
      </c>
      <c r="BA85" s="15" t="e">
        <f t="shared" si="1"/>
        <v>#N/A</v>
      </c>
      <c r="BB85" s="5"/>
      <c r="BC85" s="5"/>
      <c r="BD85" s="5"/>
      <c r="BE85" s="76"/>
    </row>
    <row r="86" spans="43:57" ht="9.75" thickBot="1">
      <c r="AQ86" s="86"/>
      <c r="AR86" s="5"/>
      <c r="AS86" s="5"/>
      <c r="AT86" s="15">
        <v>7</v>
      </c>
      <c r="AU86" s="15">
        <v>9</v>
      </c>
      <c r="AV86" s="62" t="e">
        <f t="shared" si="0"/>
        <v>#VALUE!</v>
      </c>
      <c r="AW86" s="15">
        <v>7</v>
      </c>
      <c r="AX86" s="15" t="s">
        <v>72</v>
      </c>
      <c r="AY86" s="64" t="e">
        <f>VLOOKUP(L5,AT79:AV91,3,FALSE)-(ROUNDDOWN((VLOOKUP(L5,AT79:AV91,3,FALSE)/AW86),-3)*(AW86-1))</f>
        <v>#N/A</v>
      </c>
      <c r="AZ86" s="62" t="e">
        <f>(VLOOKUP(L5,AT79:AV91,3,FALSE)-AY86)/(AW86-1)</f>
        <v>#N/A</v>
      </c>
      <c r="BA86" s="15" t="e">
        <f t="shared" si="1"/>
        <v>#N/A</v>
      </c>
      <c r="BB86" s="5"/>
      <c r="BC86" s="5"/>
      <c r="BD86" s="87"/>
      <c r="BE86" s="88"/>
    </row>
    <row r="87" spans="43:57">
      <c r="AR87" s="5"/>
      <c r="AS87" s="5"/>
      <c r="AT87" s="15">
        <v>8</v>
      </c>
      <c r="AU87" s="15">
        <v>8</v>
      </c>
      <c r="AV87" s="62" t="e">
        <f t="shared" si="0"/>
        <v>#VALUE!</v>
      </c>
      <c r="AW87" s="15">
        <v>6</v>
      </c>
      <c r="AX87" s="15" t="s">
        <v>73</v>
      </c>
      <c r="AY87" s="64" t="e">
        <f>VLOOKUP(L5,AT79:AV91,3,FALSE)-(ROUNDDOWN((VLOOKUP(L5,AT79:AV91,3,FALSE)/AW87),-3)*(AW87-1))</f>
        <v>#N/A</v>
      </c>
      <c r="AZ87" s="62" t="e">
        <f>(VLOOKUP(L5,AT79:AV91,3,FALSE)-AY87)/(AW87-1)</f>
        <v>#N/A</v>
      </c>
      <c r="BA87" s="15" t="e">
        <f t="shared" si="1"/>
        <v>#N/A</v>
      </c>
      <c r="BB87" s="5"/>
      <c r="BC87" s="5"/>
    </row>
    <row r="88" spans="43:57">
      <c r="AR88" s="5"/>
      <c r="AS88" s="5"/>
      <c r="AT88" s="15">
        <v>9</v>
      </c>
      <c r="AU88" s="15">
        <v>7</v>
      </c>
      <c r="AV88" s="62" t="e">
        <f t="shared" si="0"/>
        <v>#VALUE!</v>
      </c>
      <c r="AW88" s="15">
        <v>5</v>
      </c>
      <c r="AX88" s="15" t="s">
        <v>74</v>
      </c>
      <c r="AY88" s="64" t="e">
        <f>VLOOKUP(L5,AT79:AV91,3,FALSE)-(ROUNDDOWN((VLOOKUP(L5,AT79:AV91,3,FALSE)/AW88),-3)*(AW88-1))</f>
        <v>#N/A</v>
      </c>
      <c r="AZ88" s="62" t="e">
        <f>(VLOOKUP(L5,AT79:AV91,3,FALSE)-AY88)/(AW88-1)</f>
        <v>#N/A</v>
      </c>
      <c r="BA88" s="15" t="e">
        <f t="shared" si="1"/>
        <v>#N/A</v>
      </c>
      <c r="BB88" s="5"/>
      <c r="BC88" s="5"/>
    </row>
    <row r="89" spans="43:57">
      <c r="AR89" s="5"/>
      <c r="AS89" s="5"/>
      <c r="AT89" s="15">
        <v>10</v>
      </c>
      <c r="AU89" s="15">
        <v>6</v>
      </c>
      <c r="AV89" s="62" t="e">
        <f t="shared" si="0"/>
        <v>#VALUE!</v>
      </c>
      <c r="AW89" s="15">
        <v>4</v>
      </c>
      <c r="AX89" s="15" t="s">
        <v>75</v>
      </c>
      <c r="AY89" s="64" t="e">
        <f>VLOOKUP(L5,AT79:AV91,3,FALSE)-(ROUNDDOWN((VLOOKUP(L5,AT79:AV91,3,FALSE)/AW89),-3)*(AW89-1))</f>
        <v>#N/A</v>
      </c>
      <c r="AZ89" s="62" t="e">
        <f>(VLOOKUP(L5,AT79:AV91,3,FALSE)-AY89)/(AW89-1)</f>
        <v>#N/A</v>
      </c>
      <c r="BA89" s="15" t="e">
        <f t="shared" si="1"/>
        <v>#N/A</v>
      </c>
      <c r="BB89" s="5"/>
      <c r="BC89" s="5"/>
    </row>
    <row r="90" spans="43:57">
      <c r="AR90" s="5"/>
      <c r="AS90" s="5"/>
      <c r="AT90" s="15">
        <v>11</v>
      </c>
      <c r="AU90" s="15">
        <v>5</v>
      </c>
      <c r="AV90" s="62" t="e">
        <f t="shared" si="0"/>
        <v>#VALUE!</v>
      </c>
      <c r="AW90" s="15">
        <v>3</v>
      </c>
      <c r="AX90" s="15" t="s">
        <v>76</v>
      </c>
      <c r="AY90" s="64" t="e">
        <f>VLOOKUP(L5,AT79:AV91,3,FALSE)-(ROUNDDOWN((VLOOKUP(L5,AT79:AV91,3,FALSE)/AW90),-3)*(AW90-1))</f>
        <v>#N/A</v>
      </c>
      <c r="AZ90" s="62" t="e">
        <f>(VLOOKUP(L5,AT79:AV91,3,FALSE)-AY90)/(AW90-1)</f>
        <v>#N/A</v>
      </c>
      <c r="BA90" s="15" t="e">
        <f t="shared" si="1"/>
        <v>#N/A</v>
      </c>
      <c r="BB90" s="5"/>
      <c r="BC90" s="5"/>
    </row>
    <row r="91" spans="43:57">
      <c r="AR91" s="5"/>
      <c r="AS91" s="5"/>
      <c r="AT91" s="15">
        <v>12</v>
      </c>
      <c r="AU91" s="15">
        <v>4</v>
      </c>
      <c r="AV91" s="62" t="e">
        <f t="shared" si="0"/>
        <v>#VALUE!</v>
      </c>
      <c r="AW91" s="15">
        <v>2</v>
      </c>
      <c r="AX91" s="15" t="s">
        <v>77</v>
      </c>
      <c r="AY91" s="64" t="e">
        <f>VLOOKUP(L5,AT79:AV91,3,FALSE)-(ROUNDDOWN((VLOOKUP(L5,AT79:AV91,3,FALSE)/AW91),-3)*(AW91-1))</f>
        <v>#N/A</v>
      </c>
      <c r="AZ91" s="62" t="e">
        <f>(VLOOKUP(L5,AT79:AV91,3,FALSE)-AY91)/(AW91-1)</f>
        <v>#N/A</v>
      </c>
      <c r="BA91" s="15" t="e">
        <f>"初回が　"&amp;AY91&amp;"円、2回目は　"&amp;AZ91&amp;"円になります。"</f>
        <v>#N/A</v>
      </c>
      <c r="BB91" s="5"/>
      <c r="BC91" s="5"/>
    </row>
    <row r="92" spans="43:57"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</row>
    <row r="93" spans="43:57"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</row>
    <row r="94" spans="43:57"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</row>
    <row r="95" spans="43:57"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</row>
    <row r="96" spans="43:57"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</row>
    <row r="97" spans="44:55" ht="9.75" thickBot="1">
      <c r="AR97" s="87"/>
      <c r="AS97" s="87"/>
      <c r="AT97" s="87"/>
      <c r="AU97" s="87"/>
      <c r="AV97" s="87"/>
      <c r="AW97" s="87"/>
      <c r="AX97" s="87"/>
      <c r="AY97" s="87"/>
      <c r="AZ97" s="87"/>
      <c r="BA97" s="87"/>
      <c r="BB97" s="87"/>
      <c r="BC97" s="5"/>
    </row>
  </sheetData>
  <sheetProtection selectLockedCells="1" selectUnlockedCells="1"/>
  <mergeCells count="116">
    <mergeCell ref="X25:Y25"/>
    <mergeCell ref="Z25:AA25"/>
    <mergeCell ref="Y27:AA27"/>
    <mergeCell ref="AW9:AW11"/>
    <mergeCell ref="X16:Y16"/>
    <mergeCell ref="Z16:AA16"/>
    <mergeCell ref="Z19:AA19"/>
    <mergeCell ref="Z21:AA21"/>
    <mergeCell ref="X23:Y23"/>
    <mergeCell ref="Z23:AA23"/>
    <mergeCell ref="X10:AA10"/>
    <mergeCell ref="X11:Y11"/>
    <mergeCell ref="Z11:AA11"/>
    <mergeCell ref="X12:Y15"/>
    <mergeCell ref="Z12:AA12"/>
    <mergeCell ref="Z13:AA13"/>
    <mergeCell ref="Z14:AA14"/>
    <mergeCell ref="Z15:AA15"/>
    <mergeCell ref="AU9:AU11"/>
    <mergeCell ref="B12:B16"/>
    <mergeCell ref="B35:F36"/>
    <mergeCell ref="G35:G36"/>
    <mergeCell ref="D17:E17"/>
    <mergeCell ref="B17:C17"/>
    <mergeCell ref="B34:G34"/>
    <mergeCell ref="D21:G21"/>
    <mergeCell ref="B31:G31"/>
    <mergeCell ref="B32:F33"/>
    <mergeCell ref="F14:G14"/>
    <mergeCell ref="G32:G33"/>
    <mergeCell ref="F17:G17"/>
    <mergeCell ref="B27:G27"/>
    <mergeCell ref="B23:G25"/>
    <mergeCell ref="D12:E15"/>
    <mergeCell ref="D16:E16"/>
    <mergeCell ref="F12:G12"/>
    <mergeCell ref="F15:G15"/>
    <mergeCell ref="F13:G13"/>
    <mergeCell ref="D19:G19"/>
    <mergeCell ref="C12:C16"/>
    <mergeCell ref="F16:G16"/>
    <mergeCell ref="P23:Q23"/>
    <mergeCell ref="S12:T15"/>
    <mergeCell ref="U21:V21"/>
    <mergeCell ref="I17:V17"/>
    <mergeCell ref="I12:J15"/>
    <mergeCell ref="P16:Q16"/>
    <mergeCell ref="K44:L44"/>
    <mergeCell ref="L41:O41"/>
    <mergeCell ref="I25:J25"/>
    <mergeCell ref="K25:L25"/>
    <mergeCell ref="S25:T25"/>
    <mergeCell ref="T27:V27"/>
    <mergeCell ref="P41:Q41"/>
    <mergeCell ref="U25:V25"/>
    <mergeCell ref="N25:O25"/>
    <mergeCell ref="I35:S35"/>
    <mergeCell ref="S11:T11"/>
    <mergeCell ref="N11:O11"/>
    <mergeCell ref="P13:Q13"/>
    <mergeCell ref="K12:L12"/>
    <mergeCell ref="K13:L13"/>
    <mergeCell ref="U16:V16"/>
    <mergeCell ref="K23:L23"/>
    <mergeCell ref="Q34:S34"/>
    <mergeCell ref="R32:S32"/>
    <mergeCell ref="S23:T23"/>
    <mergeCell ref="P19:Q19"/>
    <mergeCell ref="J27:L27"/>
    <mergeCell ref="J32:K32"/>
    <mergeCell ref="K19:L19"/>
    <mergeCell ref="K21:L21"/>
    <mergeCell ref="I23:J23"/>
    <mergeCell ref="P25:Q25"/>
    <mergeCell ref="P21:Q21"/>
    <mergeCell ref="O27:Q27"/>
    <mergeCell ref="I11:J11"/>
    <mergeCell ref="U23:V23"/>
    <mergeCell ref="N23:O23"/>
    <mergeCell ref="U19:V19"/>
    <mergeCell ref="U13:V13"/>
    <mergeCell ref="L6:N6"/>
    <mergeCell ref="AV9:AV11"/>
    <mergeCell ref="I16:J16"/>
    <mergeCell ref="K14:L14"/>
    <mergeCell ref="U11:V11"/>
    <mergeCell ref="P12:Q12"/>
    <mergeCell ref="S16:T16"/>
    <mergeCell ref="K16:L16"/>
    <mergeCell ref="AR9:AR11"/>
    <mergeCell ref="AT9:AT11"/>
    <mergeCell ref="U14:V14"/>
    <mergeCell ref="S10:V10"/>
    <mergeCell ref="N16:O16"/>
    <mergeCell ref="N12:O15"/>
    <mergeCell ref="U15:V15"/>
    <mergeCell ref="U12:V12"/>
    <mergeCell ref="P11:Q11"/>
    <mergeCell ref="K15:L15"/>
    <mergeCell ref="P15:Q15"/>
    <mergeCell ref="I10:L10"/>
    <mergeCell ref="L7:N7"/>
    <mergeCell ref="N10:Q10"/>
    <mergeCell ref="P14:Q14"/>
    <mergeCell ref="K11:L11"/>
    <mergeCell ref="D5:E5"/>
    <mergeCell ref="D6:E6"/>
    <mergeCell ref="D7:E7"/>
    <mergeCell ref="D8:E8"/>
    <mergeCell ref="F5:G5"/>
    <mergeCell ref="F6:G6"/>
    <mergeCell ref="F7:G7"/>
    <mergeCell ref="F8:G8"/>
    <mergeCell ref="B10:B11"/>
    <mergeCell ref="C10:C11"/>
    <mergeCell ref="D10:G11"/>
  </mergeCells>
  <phoneticPr fontId="2"/>
  <conditionalFormatting sqref="J6 F6:G6">
    <cfRule type="expression" dxfId="16" priority="13" stopIfTrue="1">
      <formula>$C$5="２人"</formula>
    </cfRule>
    <cfRule type="expression" dxfId="15" priority="14" stopIfTrue="1">
      <formula>$C$5="３人"</formula>
    </cfRule>
    <cfRule type="expression" dxfId="14" priority="15" stopIfTrue="1">
      <formula>$C$5="４人"</formula>
    </cfRule>
  </conditionalFormatting>
  <conditionalFormatting sqref="J7 F7:G7">
    <cfRule type="expression" dxfId="13" priority="16" stopIfTrue="1">
      <formula>$C$5="３人"</formula>
    </cfRule>
    <cfRule type="expression" dxfId="12" priority="17" stopIfTrue="1">
      <formula>$C$5="４人"</formula>
    </cfRule>
  </conditionalFormatting>
  <conditionalFormatting sqref="J8 F8:G8">
    <cfRule type="expression" dxfId="11" priority="18" stopIfTrue="1">
      <formula>$C$5="４人"</formula>
    </cfRule>
  </conditionalFormatting>
  <conditionalFormatting sqref="K25:L25">
    <cfRule type="expression" dxfId="10" priority="19" stopIfTrue="1">
      <formula>$K$23-$AT$9&gt;=0</formula>
    </cfRule>
  </conditionalFormatting>
  <conditionalFormatting sqref="P25:Q25">
    <cfRule type="expression" dxfId="9" priority="20" stopIfTrue="1">
      <formula>$P$23-$AU$9&gt;=0</formula>
    </cfRule>
  </conditionalFormatting>
  <conditionalFormatting sqref="U25:W25">
    <cfRule type="expression" dxfId="8" priority="21" stopIfTrue="1">
      <formula>$U$23-$AV$9&gt;=0</formula>
    </cfRule>
  </conditionalFormatting>
  <conditionalFormatting sqref="K23:L23">
    <cfRule type="expression" dxfId="7" priority="22" stopIfTrue="1">
      <formula>$K$23-$AT$9&lt;0</formula>
    </cfRule>
  </conditionalFormatting>
  <conditionalFormatting sqref="P23:Q23">
    <cfRule type="expression" dxfId="6" priority="23" stopIfTrue="1">
      <formula>$P$23-$AU$9&lt;0</formula>
    </cfRule>
  </conditionalFormatting>
  <conditionalFormatting sqref="U23:V23">
    <cfRule type="expression" dxfId="5" priority="24" stopIfTrue="1">
      <formula>$U$23-$AV$9&lt;0</formula>
    </cfRule>
  </conditionalFormatting>
  <conditionalFormatting sqref="L5 P5">
    <cfRule type="expression" dxfId="4" priority="26" stopIfTrue="1">
      <formula>$AR$44=0</formula>
    </cfRule>
  </conditionalFormatting>
  <conditionalFormatting sqref="J5">
    <cfRule type="expression" dxfId="3" priority="28" stopIfTrue="1">
      <formula>$C$5&lt;&gt;""</formula>
    </cfRule>
  </conditionalFormatting>
  <conditionalFormatting sqref="F5:G5">
    <cfRule type="expression" dxfId="2" priority="29" stopIfTrue="1">
      <formula>$C$5&lt;&gt;""</formula>
    </cfRule>
  </conditionalFormatting>
  <conditionalFormatting sqref="T7">
    <cfRule type="expression" dxfId="1" priority="2" stopIfTrue="1">
      <formula>$C$5&lt;&gt;""</formula>
    </cfRule>
  </conditionalFormatting>
  <conditionalFormatting sqref="Z25:AA25">
    <cfRule type="expression" dxfId="0" priority="1" stopIfTrue="1">
      <formula>$U$23-$AV$9&gt;=0</formula>
    </cfRule>
  </conditionalFormatting>
  <dataValidations count="3">
    <dataValidation type="list" allowBlank="1" showInputMessage="1" showErrorMessage="1" sqref="C5" xr:uid="{00000000-0002-0000-0100-000000000000}">
      <formula1>$AQ$40:$AQ$44</formula1>
    </dataValidation>
    <dataValidation type="list" allowBlank="1" showInputMessage="1" showErrorMessage="1" sqref="J5:J9" xr:uid="{00000000-0002-0000-0100-000001000000}">
      <formula1>"　,はい,いいえ"</formula1>
    </dataValidation>
    <dataValidation type="list" allowBlank="1" showInputMessage="1" showErrorMessage="1" sqref="P5 L5" xr:uid="{00000000-0002-0000-0100-000002000000}">
      <formula1>$AT$79:$AT$91</formula1>
    </dataValidation>
  </dataValidations>
  <printOptions horizontalCentered="1" verticalCentered="1"/>
  <pageMargins left="0.70866141732283505" right="0.70866141732283505" top="0.74803149606299202" bottom="0.74803149606299202" header="0.31496062992126" footer="0.31496062992126"/>
  <pageSetup paperSize="9" orientation="landscape" cellComments="atEnd" r:id="rId1"/>
  <headerFooter alignWithMargins="0">
    <oddHeader>&amp;R金額はあくまで概算です。</oddHeader>
    <oddFooter>&amp;R東浦町役場　税務課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304" r:id="rId4" name="Button 1992">
              <controlPr defaultSize="0" print="0" autoFill="0" autoPict="0" macro="[0]!リセット">
                <anchor moveWithCells="1" sizeWithCells="1">
                  <from>
                    <xdr:col>27</xdr:col>
                    <xdr:colOff>47625</xdr:colOff>
                    <xdr:row>11</xdr:row>
                    <xdr:rowOff>57150</xdr:rowOff>
                  </from>
                  <to>
                    <xdr:col>29</xdr:col>
                    <xdr:colOff>352425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5" r:id="rId5" name="Button 1993">
              <controlPr defaultSize="0" print="0" autoFill="0" autoPict="0" macro="[0]!印刷">
                <anchor moveWithCells="1" sizeWithCells="1">
                  <from>
                    <xdr:col>27</xdr:col>
                    <xdr:colOff>47625</xdr:colOff>
                    <xdr:row>9</xdr:row>
                    <xdr:rowOff>9525</xdr:rowOff>
                  </from>
                  <to>
                    <xdr:col>29</xdr:col>
                    <xdr:colOff>352425</xdr:colOff>
                    <xdr:row>10</xdr:row>
                    <xdr:rowOff>76200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ワークシート</vt:lpstr>
      </vt:variant>
      <vt:variant>
        <vt:i4>1</vt:i4>
      </vt:variant>
      <vt:variant>
        <vt:lpstr>グラフ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試算</vt:lpstr>
      <vt:lpstr>Graph1</vt:lpstr>
      <vt:lpstr>試算!Print_Area</vt:lpstr>
    </vt:vector>
  </TitlesOfParts>
  <Company>税務課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MINZEI</dc:creator>
  <cp:lastModifiedBy>柴田　まひろ</cp:lastModifiedBy>
  <cp:lastPrinted>2026-03-13T10:50:47Z</cp:lastPrinted>
  <dcterms:created xsi:type="dcterms:W3CDTF">2002-06-06T01:03:53Z</dcterms:created>
  <dcterms:modified xsi:type="dcterms:W3CDTF">2026-03-23T09:27:14Z</dcterms:modified>
</cp:coreProperties>
</file>